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62857\RCTI_Budget_Prep\Paket_Portofolio\"/>
    </mc:Choice>
  </mc:AlternateContent>
  <xr:revisionPtr revIDLastSave="0" documentId="8_{2E695CC8-F660-4ECF-870C-42F4E1F909B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ver" sheetId="1" r:id="rId1"/>
    <sheet name="Dashboard" sheetId="2" r:id="rId2"/>
    <sheet name="Assumptions" sheetId="3" r:id="rId3"/>
    <sheet name="Program_Budget" sheetId="4" r:id="rId4"/>
    <sheet name="Submissions" sheetId="5" r:id="rId5"/>
    <sheet name="Consolidation" sheetId="6" r:id="rId6"/>
    <sheet name="Actuals" sheetId="7" r:id="rId7"/>
    <sheet name="Mgmt_Report" sheetId="8" r:id="rId8"/>
    <sheet name="Controls" sheetId="9" r:id="rId9"/>
  </sheets>
  <calcPr calcId="191029"/>
</workbook>
</file>

<file path=xl/calcChain.xml><?xml version="1.0" encoding="utf-8"?>
<calcChain xmlns="http://schemas.openxmlformats.org/spreadsheetml/2006/main">
  <c r="C13" i="9" l="1"/>
  <c r="E13" i="9" s="1"/>
  <c r="D12" i="9"/>
  <c r="C12" i="9"/>
  <c r="E12" i="9" s="1"/>
  <c r="C10" i="9"/>
  <c r="E10" i="9" s="1"/>
  <c r="F46" i="8"/>
  <c r="B46" i="8"/>
  <c r="F45" i="8"/>
  <c r="B45" i="8"/>
  <c r="F44" i="8"/>
  <c r="B44" i="8"/>
  <c r="F43" i="8"/>
  <c r="B43" i="8"/>
  <c r="F42" i="8"/>
  <c r="B42" i="8"/>
  <c r="F41" i="8"/>
  <c r="B41" i="8"/>
  <c r="F40" i="8"/>
  <c r="B40" i="8"/>
  <c r="F39" i="8"/>
  <c r="B39" i="8"/>
  <c r="F38" i="8"/>
  <c r="B38" i="8"/>
  <c r="F37" i="8"/>
  <c r="B37" i="8"/>
  <c r="F36" i="8"/>
  <c r="B36" i="8"/>
  <c r="F35" i="8"/>
  <c r="B35" i="8"/>
  <c r="B21" i="8"/>
  <c r="A16" i="8"/>
  <c r="A15" i="8"/>
  <c r="A14" i="8"/>
  <c r="A13" i="8"/>
  <c r="A12" i="8"/>
  <c r="A11" i="8"/>
  <c r="A10" i="8"/>
  <c r="A9" i="8"/>
  <c r="C4" i="8"/>
  <c r="N16" i="7"/>
  <c r="M14" i="7"/>
  <c r="D46" i="8" s="1"/>
  <c r="L14" i="7"/>
  <c r="D45" i="8" s="1"/>
  <c r="K14" i="7"/>
  <c r="D44" i="8" s="1"/>
  <c r="J14" i="7"/>
  <c r="D43" i="8" s="1"/>
  <c r="I14" i="7"/>
  <c r="D42" i="8" s="1"/>
  <c r="H14" i="7"/>
  <c r="D41" i="8" s="1"/>
  <c r="G14" i="7"/>
  <c r="D40" i="8" s="1"/>
  <c r="F14" i="7"/>
  <c r="D39" i="8" s="1"/>
  <c r="E14" i="7"/>
  <c r="D38" i="8" s="1"/>
  <c r="D14" i="7"/>
  <c r="D37" i="8" s="1"/>
  <c r="C14" i="7"/>
  <c r="D36" i="8" s="1"/>
  <c r="B14" i="7"/>
  <c r="D35" i="8" s="1"/>
  <c r="D47" i="8" s="1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N14" i="7" s="1"/>
  <c r="A6" i="7"/>
  <c r="M5" i="7"/>
  <c r="L5" i="7"/>
  <c r="K5" i="7"/>
  <c r="J5" i="7"/>
  <c r="I5" i="7"/>
  <c r="H5" i="7"/>
  <c r="G5" i="7"/>
  <c r="F5" i="7"/>
  <c r="E5" i="7"/>
  <c r="D5" i="7"/>
  <c r="C5" i="7"/>
  <c r="B5" i="7"/>
  <c r="A26" i="6"/>
  <c r="A25" i="6"/>
  <c r="A24" i="6"/>
  <c r="A23" i="6"/>
  <c r="A22" i="6"/>
  <c r="A21" i="6"/>
  <c r="A20" i="6"/>
  <c r="A19" i="6"/>
  <c r="M18" i="6"/>
  <c r="L18" i="6"/>
  <c r="K18" i="6"/>
  <c r="J18" i="6"/>
  <c r="I18" i="6"/>
  <c r="H18" i="6"/>
  <c r="G18" i="6"/>
  <c r="F18" i="6"/>
  <c r="E18" i="6"/>
  <c r="D18" i="6"/>
  <c r="C18" i="6"/>
  <c r="B18" i="6"/>
  <c r="A13" i="6"/>
  <c r="A12" i="6"/>
  <c r="A11" i="6"/>
  <c r="A10" i="6"/>
  <c r="A9" i="6"/>
  <c r="A8" i="6"/>
  <c r="A7" i="6"/>
  <c r="A6" i="6"/>
  <c r="G31" i="5"/>
  <c r="G30" i="5"/>
  <c r="G29" i="5"/>
  <c r="G28" i="5"/>
  <c r="G27" i="5"/>
  <c r="G26" i="5"/>
  <c r="G25" i="5"/>
  <c r="G24" i="5"/>
  <c r="G23" i="5"/>
  <c r="G22" i="5"/>
  <c r="L21" i="5"/>
  <c r="K21" i="5"/>
  <c r="G21" i="5"/>
  <c r="G20" i="5"/>
  <c r="G19" i="5"/>
  <c r="G18" i="5"/>
  <c r="G17" i="5"/>
  <c r="G16" i="5"/>
  <c r="G15" i="5"/>
  <c r="G14" i="5"/>
  <c r="G13" i="5"/>
  <c r="F12" i="5"/>
  <c r="E12" i="5"/>
  <c r="G12" i="5" s="1"/>
  <c r="F11" i="5"/>
  <c r="E11" i="5"/>
  <c r="G11" i="5" s="1"/>
  <c r="F10" i="5"/>
  <c r="E10" i="5"/>
  <c r="G10" i="5" s="1"/>
  <c r="F9" i="5"/>
  <c r="E9" i="5"/>
  <c r="G9" i="5" s="1"/>
  <c r="F8" i="5"/>
  <c r="E8" i="5"/>
  <c r="G8" i="5" s="1"/>
  <c r="F7" i="5"/>
  <c r="E7" i="5"/>
  <c r="G7" i="5" s="1"/>
  <c r="H4" i="5"/>
  <c r="D12" i="4"/>
  <c r="L11" i="4"/>
  <c r="J11" i="4"/>
  <c r="H11" i="4"/>
  <c r="F11" i="4"/>
  <c r="L10" i="4"/>
  <c r="J10" i="4"/>
  <c r="H10" i="4"/>
  <c r="F10" i="4"/>
  <c r="L9" i="4"/>
  <c r="J9" i="4"/>
  <c r="H9" i="4"/>
  <c r="F9" i="4"/>
  <c r="L8" i="4"/>
  <c r="J8" i="4"/>
  <c r="H8" i="4"/>
  <c r="F8" i="4"/>
  <c r="L7" i="4"/>
  <c r="J7" i="4"/>
  <c r="H7" i="4"/>
  <c r="F7" i="4"/>
  <c r="L6" i="4"/>
  <c r="J6" i="4"/>
  <c r="H6" i="4"/>
  <c r="F6" i="4"/>
  <c r="F12" i="4" s="1"/>
  <c r="O31" i="3"/>
  <c r="C8" i="9" s="1"/>
  <c r="E8" i="9" s="1"/>
  <c r="O30" i="3"/>
  <c r="C7" i="9" s="1"/>
  <c r="E7" i="9" s="1"/>
  <c r="B21" i="1"/>
  <c r="B20" i="1"/>
  <c r="B19" i="1"/>
  <c r="B18" i="1"/>
  <c r="B17" i="1"/>
  <c r="B16" i="1"/>
  <c r="B15" i="1"/>
  <c r="B14" i="1"/>
  <c r="B46" i="2"/>
  <c r="H45" i="2"/>
  <c r="B45" i="2"/>
  <c r="H44" i="2"/>
  <c r="B44" i="2"/>
  <c r="H43" i="2"/>
  <c r="B43" i="2"/>
  <c r="H42" i="2"/>
  <c r="B42" i="2"/>
  <c r="H41" i="2"/>
  <c r="B41" i="2"/>
  <c r="H40" i="2"/>
  <c r="B40" i="2"/>
  <c r="H39" i="2"/>
  <c r="B39" i="2"/>
  <c r="H38" i="2"/>
  <c r="B38" i="2"/>
  <c r="D4" i="2"/>
  <c r="B2" i="2"/>
  <c r="M11" i="4" l="1"/>
  <c r="N11" i="4" s="1"/>
  <c r="M10" i="4"/>
  <c r="N10" i="4" s="1"/>
  <c r="M9" i="4"/>
  <c r="N9" i="4" s="1"/>
  <c r="M8" i="4"/>
  <c r="N8" i="4" s="1"/>
  <c r="M7" i="4"/>
  <c r="N7" i="4" s="1"/>
  <c r="F47" i="8"/>
  <c r="H35" i="8"/>
  <c r="E38" i="8"/>
  <c r="G21" i="8"/>
  <c r="E46" i="8"/>
  <c r="E45" i="8"/>
  <c r="E37" i="8"/>
  <c r="E44" i="8"/>
  <c r="E43" i="8"/>
  <c r="E42" i="8"/>
  <c r="E36" i="8"/>
  <c r="E41" i="8"/>
  <c r="C21" i="8"/>
  <c r="E40" i="8"/>
  <c r="E39" i="8"/>
  <c r="E35" i="8"/>
  <c r="D15" i="8"/>
  <c r="H14" i="8"/>
  <c r="D14" i="8"/>
  <c r="H13" i="8"/>
  <c r="D13" i="8"/>
  <c r="H12" i="8"/>
  <c r="D12" i="8"/>
  <c r="H11" i="8"/>
  <c r="D11" i="8"/>
  <c r="H10" i="8"/>
  <c r="D10" i="8"/>
  <c r="H9" i="8"/>
  <c r="D9" i="8"/>
  <c r="C5" i="8"/>
  <c r="H21" i="8"/>
  <c r="D21" i="8"/>
  <c r="H16" i="8"/>
  <c r="D16" i="8"/>
  <c r="H15" i="8"/>
  <c r="C26" i="6"/>
  <c r="B26" i="6"/>
  <c r="M26" i="6"/>
  <c r="K26" i="6"/>
  <c r="J26" i="6"/>
  <c r="I26" i="6"/>
  <c r="H26" i="6"/>
  <c r="F26" i="6"/>
  <c r="E26" i="6"/>
  <c r="D26" i="6"/>
  <c r="C25" i="6"/>
  <c r="B25" i="6"/>
  <c r="M25" i="6"/>
  <c r="J25" i="6"/>
  <c r="I25" i="6"/>
  <c r="H25" i="6"/>
  <c r="G25" i="6"/>
  <c r="F25" i="6"/>
  <c r="E25" i="6"/>
  <c r="D25" i="6"/>
  <c r="M24" i="6"/>
  <c r="L24" i="6"/>
  <c r="J24" i="6"/>
  <c r="I24" i="6"/>
  <c r="H24" i="6"/>
  <c r="G24" i="6"/>
  <c r="F24" i="6"/>
  <c r="E24" i="6"/>
  <c r="C24" i="6"/>
  <c r="B24" i="6"/>
  <c r="B23" i="6"/>
  <c r="C23" i="6"/>
  <c r="L23" i="6"/>
  <c r="K23" i="6"/>
  <c r="J23" i="6"/>
  <c r="I23" i="6"/>
  <c r="H23" i="6"/>
  <c r="E23" i="6"/>
  <c r="D23" i="6"/>
  <c r="C22" i="6"/>
  <c r="B22" i="6"/>
  <c r="M22" i="6"/>
  <c r="L22" i="6"/>
  <c r="K22" i="6"/>
  <c r="J22" i="6"/>
  <c r="I22" i="6"/>
  <c r="F22" i="6"/>
  <c r="E22" i="6"/>
  <c r="D22" i="6"/>
  <c r="H21" i="6"/>
  <c r="M21" i="6"/>
  <c r="L21" i="6"/>
  <c r="K21" i="6"/>
  <c r="I21" i="6"/>
  <c r="G21" i="6"/>
  <c r="D21" i="6"/>
  <c r="C21" i="6"/>
  <c r="B21" i="6"/>
  <c r="C20" i="6"/>
  <c r="L20" i="6"/>
  <c r="M20" i="6"/>
  <c r="B20" i="6"/>
  <c r="K20" i="6"/>
  <c r="J20" i="6"/>
  <c r="I20" i="6"/>
  <c r="H20" i="6"/>
  <c r="F20" i="6"/>
  <c r="I19" i="6"/>
  <c r="I27" i="6" s="1"/>
  <c r="M19" i="6"/>
  <c r="L19" i="6"/>
  <c r="K19" i="6"/>
  <c r="J19" i="6"/>
  <c r="H19" i="6"/>
  <c r="G19" i="6"/>
  <c r="F19" i="6"/>
  <c r="E19" i="6"/>
  <c r="D19" i="6"/>
  <c r="F13" i="6"/>
  <c r="B13" i="6"/>
  <c r="F12" i="6"/>
  <c r="B12" i="6"/>
  <c r="F11" i="6"/>
  <c r="B11" i="6"/>
  <c r="F10" i="6"/>
  <c r="B10" i="6"/>
  <c r="F9" i="6"/>
  <c r="B9" i="6"/>
  <c r="F8" i="6"/>
  <c r="B8" i="6"/>
  <c r="B7" i="6"/>
  <c r="F7" i="6"/>
  <c r="B6" i="6"/>
  <c r="F6" i="6"/>
  <c r="F14" i="6" s="1"/>
  <c r="I31" i="5"/>
  <c r="I30" i="5"/>
  <c r="I29" i="5"/>
  <c r="I28" i="5"/>
  <c r="I27" i="5"/>
  <c r="I26" i="5"/>
  <c r="I25" i="5"/>
  <c r="I24" i="5"/>
  <c r="I23" i="5"/>
  <c r="I22" i="5"/>
  <c r="M21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G4" i="5"/>
  <c r="I4" i="5" s="1"/>
  <c r="L12" i="4"/>
  <c r="M6" i="4"/>
  <c r="J12" i="4"/>
  <c r="C6" i="9"/>
  <c r="E6" i="9" s="1"/>
  <c r="H46" i="8"/>
  <c r="H45" i="8"/>
  <c r="H44" i="8"/>
  <c r="H43" i="8"/>
  <c r="H42" i="8"/>
  <c r="H41" i="8"/>
  <c r="H40" i="8"/>
  <c r="H39" i="8"/>
  <c r="H38" i="8"/>
  <c r="H37" i="8"/>
  <c r="H36" i="8"/>
  <c r="E47" i="8" l="1"/>
  <c r="D43" i="2"/>
  <c r="D42" i="2"/>
  <c r="D41" i="2"/>
  <c r="D40" i="2"/>
  <c r="D39" i="2"/>
  <c r="H17" i="8"/>
  <c r="D38" i="2"/>
  <c r="I21" i="8"/>
  <c r="J21" i="8" s="1"/>
  <c r="K21" i="8"/>
  <c r="L21" i="8"/>
  <c r="B7" i="2"/>
  <c r="B12" i="2"/>
  <c r="E21" i="8"/>
  <c r="F21" i="8" s="1"/>
  <c r="D45" i="2"/>
  <c r="D44" i="2"/>
  <c r="B14" i="6"/>
  <c r="K31" i="5"/>
  <c r="L31" i="5"/>
  <c r="K30" i="5"/>
  <c r="L30" i="5"/>
  <c r="K29" i="5"/>
  <c r="L29" i="5"/>
  <c r="K28" i="5"/>
  <c r="L28" i="5"/>
  <c r="K27" i="5"/>
  <c r="L27" i="5"/>
  <c r="K26" i="5"/>
  <c r="L26" i="5"/>
  <c r="M26" i="5" s="1"/>
  <c r="K25" i="5"/>
  <c r="L25" i="5"/>
  <c r="K24" i="5"/>
  <c r="L24" i="5"/>
  <c r="K23" i="5"/>
  <c r="L23" i="5"/>
  <c r="K22" i="5"/>
  <c r="L22" i="5"/>
  <c r="K20" i="5"/>
  <c r="L20" i="5"/>
  <c r="K19" i="5"/>
  <c r="L19" i="5"/>
  <c r="K18" i="5"/>
  <c r="L18" i="5"/>
  <c r="K17" i="5"/>
  <c r="L17" i="5"/>
  <c r="K16" i="5"/>
  <c r="L16" i="5"/>
  <c r="K15" i="5"/>
  <c r="L15" i="5"/>
  <c r="K14" i="5"/>
  <c r="L14" i="5"/>
  <c r="K13" i="5"/>
  <c r="L13" i="5"/>
  <c r="K12" i="5"/>
  <c r="L12" i="5"/>
  <c r="M12" i="5" s="1"/>
  <c r="K11" i="5"/>
  <c r="L11" i="5"/>
  <c r="M11" i="5" s="1"/>
  <c r="K10" i="5"/>
  <c r="L10" i="5"/>
  <c r="K9" i="5"/>
  <c r="L9" i="5"/>
  <c r="M9" i="5" s="1"/>
  <c r="K8" i="5"/>
  <c r="L8" i="5"/>
  <c r="M8" i="5" s="1"/>
  <c r="K7" i="5"/>
  <c r="L7" i="5"/>
  <c r="N6" i="4"/>
  <c r="O6" i="4" s="1"/>
  <c r="M12" i="4"/>
  <c r="N12" i="4" s="1"/>
  <c r="O7" i="4"/>
  <c r="O8" i="4"/>
  <c r="O9" i="4"/>
  <c r="O10" i="4"/>
  <c r="O11" i="4"/>
  <c r="H47" i="8"/>
  <c r="D17" i="8"/>
  <c r="D22" i="8" s="1"/>
  <c r="D23" i="8" s="1"/>
  <c r="H22" i="8" l="1"/>
  <c r="C9" i="9"/>
  <c r="E9" i="9" s="1"/>
  <c r="D7" i="2"/>
  <c r="D46" i="2"/>
  <c r="N21" i="8"/>
  <c r="B8" i="2"/>
  <c r="M21" i="8"/>
  <c r="D24" i="8"/>
  <c r="M31" i="5"/>
  <c r="G26" i="6"/>
  <c r="M30" i="5"/>
  <c r="C13" i="6"/>
  <c r="L26" i="6"/>
  <c r="M29" i="5"/>
  <c r="K25" i="6"/>
  <c r="M28" i="5"/>
  <c r="C12" i="6"/>
  <c r="L25" i="6"/>
  <c r="L27" i="6" s="1"/>
  <c r="M27" i="5"/>
  <c r="K24" i="6"/>
  <c r="K27" i="6" s="1"/>
  <c r="M25" i="5"/>
  <c r="C11" i="6"/>
  <c r="D24" i="6"/>
  <c r="N24" i="6" s="1"/>
  <c r="M24" i="5"/>
  <c r="M23" i="6"/>
  <c r="M27" i="6" s="1"/>
  <c r="M23" i="5"/>
  <c r="G23" i="6"/>
  <c r="M22" i="5"/>
  <c r="C10" i="6"/>
  <c r="F23" i="6"/>
  <c r="N23" i="6" s="1"/>
  <c r="M20" i="5"/>
  <c r="G22" i="6"/>
  <c r="M19" i="5"/>
  <c r="C9" i="6"/>
  <c r="H22" i="6"/>
  <c r="H27" i="6" s="1"/>
  <c r="M18" i="5"/>
  <c r="J21" i="6"/>
  <c r="J27" i="6" s="1"/>
  <c r="M17" i="5"/>
  <c r="E21" i="6"/>
  <c r="M16" i="5"/>
  <c r="C8" i="6"/>
  <c r="F21" i="6"/>
  <c r="F27" i="6" s="1"/>
  <c r="M15" i="5"/>
  <c r="G20" i="6"/>
  <c r="G27" i="6" s="1"/>
  <c r="M14" i="5"/>
  <c r="E20" i="6"/>
  <c r="E27" i="6" s="1"/>
  <c r="M13" i="5"/>
  <c r="C7" i="6"/>
  <c r="D20" i="6"/>
  <c r="M10" i="5"/>
  <c r="C19" i="6"/>
  <c r="C27" i="6" s="1"/>
  <c r="M7" i="5"/>
  <c r="M4" i="5" s="1"/>
  <c r="C6" i="6"/>
  <c r="B19" i="6"/>
  <c r="C11" i="9"/>
  <c r="E11" i="9" s="1"/>
  <c r="L4" i="5"/>
  <c r="H23" i="8" l="1"/>
  <c r="B16" i="8"/>
  <c r="G13" i="6"/>
  <c r="D13" i="6"/>
  <c r="E13" i="6" s="1"/>
  <c r="B15" i="8"/>
  <c r="G12" i="6"/>
  <c r="D12" i="6"/>
  <c r="E12" i="6" s="1"/>
  <c r="B14" i="8"/>
  <c r="G11" i="6"/>
  <c r="D11" i="6"/>
  <c r="E11" i="6" s="1"/>
  <c r="B13" i="8"/>
  <c r="G10" i="6"/>
  <c r="D10" i="6"/>
  <c r="E10" i="6" s="1"/>
  <c r="B12" i="8"/>
  <c r="G9" i="6"/>
  <c r="D9" i="6"/>
  <c r="E9" i="6" s="1"/>
  <c r="B11" i="8"/>
  <c r="G8" i="6"/>
  <c r="D8" i="6"/>
  <c r="E8" i="6" s="1"/>
  <c r="B10" i="8"/>
  <c r="G7" i="6"/>
  <c r="D7" i="6"/>
  <c r="E7" i="6" s="1"/>
  <c r="N20" i="6"/>
  <c r="D27" i="6"/>
  <c r="D6" i="6"/>
  <c r="B9" i="8"/>
  <c r="C14" i="6"/>
  <c r="H6" i="6"/>
  <c r="G6" i="6"/>
  <c r="B27" i="6"/>
  <c r="N19" i="6"/>
  <c r="N26" i="6"/>
  <c r="N25" i="6"/>
  <c r="N22" i="6"/>
  <c r="N21" i="6"/>
  <c r="G7" i="2" l="1"/>
  <c r="H24" i="8"/>
  <c r="K16" i="8"/>
  <c r="C16" i="8"/>
  <c r="E16" i="8" s="1"/>
  <c r="F16" i="8" s="1"/>
  <c r="G16" i="8"/>
  <c r="L16" i="8" s="1"/>
  <c r="M16" i="8" s="1"/>
  <c r="K15" i="8"/>
  <c r="C15" i="8"/>
  <c r="E15" i="8" s="1"/>
  <c r="F15" i="8" s="1"/>
  <c r="G15" i="8"/>
  <c r="L15" i="8" s="1"/>
  <c r="M15" i="8" s="1"/>
  <c r="K14" i="8"/>
  <c r="C14" i="8"/>
  <c r="E14" i="8" s="1"/>
  <c r="F14" i="8" s="1"/>
  <c r="G14" i="8"/>
  <c r="L14" i="8" s="1"/>
  <c r="M14" i="8" s="1"/>
  <c r="K13" i="8"/>
  <c r="C13" i="8"/>
  <c r="E13" i="8" s="1"/>
  <c r="F13" i="8" s="1"/>
  <c r="G13" i="8"/>
  <c r="L13" i="8" s="1"/>
  <c r="M13" i="8" s="1"/>
  <c r="K12" i="8"/>
  <c r="C12" i="8"/>
  <c r="E12" i="8" s="1"/>
  <c r="F12" i="8" s="1"/>
  <c r="G12" i="8"/>
  <c r="L12" i="8" s="1"/>
  <c r="M12" i="8" s="1"/>
  <c r="K11" i="8"/>
  <c r="C11" i="8"/>
  <c r="E11" i="8" s="1"/>
  <c r="F11" i="8" s="1"/>
  <c r="G11" i="8"/>
  <c r="L11" i="8" s="1"/>
  <c r="M11" i="8" s="1"/>
  <c r="K10" i="8"/>
  <c r="C10" i="8"/>
  <c r="E10" i="8" s="1"/>
  <c r="F10" i="8" s="1"/>
  <c r="G10" i="8"/>
  <c r="L10" i="8" s="1"/>
  <c r="M10" i="8" s="1"/>
  <c r="D14" i="6"/>
  <c r="E6" i="6"/>
  <c r="K9" i="8"/>
  <c r="C9" i="8"/>
  <c r="G9" i="8"/>
  <c r="L9" i="8" s="1"/>
  <c r="B17" i="8"/>
  <c r="N27" i="6"/>
  <c r="C5" i="9" s="1"/>
  <c r="E5" i="9" s="1"/>
  <c r="E15" i="9" s="1"/>
  <c r="K4" i="2" s="1"/>
  <c r="G14" i="6"/>
  <c r="H13" i="6"/>
  <c r="H12" i="6"/>
  <c r="H11" i="6"/>
  <c r="H10" i="6"/>
  <c r="H9" i="6"/>
  <c r="H8" i="6"/>
  <c r="H7" i="6"/>
  <c r="H14" i="6" s="1"/>
  <c r="I16" i="8" l="1"/>
  <c r="C45" i="2"/>
  <c r="I15" i="8"/>
  <c r="C44" i="2"/>
  <c r="I14" i="8"/>
  <c r="C43" i="2"/>
  <c r="I13" i="8"/>
  <c r="C42" i="2"/>
  <c r="I12" i="8"/>
  <c r="C41" i="2"/>
  <c r="I11" i="8"/>
  <c r="C40" i="2"/>
  <c r="I10" i="8"/>
  <c r="C39" i="2"/>
  <c r="E14" i="6"/>
  <c r="B15" i="2"/>
  <c r="E9" i="8"/>
  <c r="C17" i="8"/>
  <c r="C22" i="8" s="1"/>
  <c r="I9" i="8"/>
  <c r="G17" i="8"/>
  <c r="C38" i="2"/>
  <c r="K17" i="8"/>
  <c r="B22" i="8"/>
  <c r="C35" i="8"/>
  <c r="C36" i="8"/>
  <c r="G36" i="8" s="1"/>
  <c r="C37" i="8"/>
  <c r="G37" i="8" s="1"/>
  <c r="C38" i="8"/>
  <c r="G38" i="8" s="1"/>
  <c r="C39" i="8"/>
  <c r="G39" i="8" s="1"/>
  <c r="C40" i="8"/>
  <c r="G40" i="8" s="1"/>
  <c r="C41" i="8"/>
  <c r="G41" i="8" s="1"/>
  <c r="C42" i="8"/>
  <c r="G42" i="8" s="1"/>
  <c r="C43" i="8"/>
  <c r="G43" i="8" s="1"/>
  <c r="C44" i="8"/>
  <c r="G44" i="8" s="1"/>
  <c r="C45" i="8"/>
  <c r="G45" i="8" s="1"/>
  <c r="C46" i="8"/>
  <c r="G46" i="8" s="1"/>
  <c r="M9" i="8"/>
  <c r="M17" i="8" s="1"/>
  <c r="L17" i="8"/>
  <c r="L22" i="8" s="1"/>
  <c r="L23" i="8" s="1"/>
  <c r="J16" i="8" l="1"/>
  <c r="E45" i="2"/>
  <c r="J15" i="8"/>
  <c r="E44" i="2"/>
  <c r="J14" i="8"/>
  <c r="E43" i="2"/>
  <c r="J13" i="8"/>
  <c r="E42" i="2"/>
  <c r="J12" i="8"/>
  <c r="E41" i="2"/>
  <c r="J11" i="8"/>
  <c r="E40" i="2"/>
  <c r="J10" i="8"/>
  <c r="E39" i="2"/>
  <c r="F9" i="8"/>
  <c r="E17" i="8"/>
  <c r="F17" i="8" s="1"/>
  <c r="C23" i="8"/>
  <c r="E22" i="8"/>
  <c r="F22" i="8" s="1"/>
  <c r="J9" i="8"/>
  <c r="I17" i="8"/>
  <c r="C27" i="8"/>
  <c r="C28" i="8"/>
  <c r="E38" i="2"/>
  <c r="G22" i="8"/>
  <c r="C46" i="2"/>
  <c r="K22" i="8"/>
  <c r="B23" i="8"/>
  <c r="M22" i="8"/>
  <c r="G35" i="8"/>
  <c r="G47" i="8" s="1"/>
  <c r="C47" i="8"/>
  <c r="M23" i="8"/>
  <c r="L24" i="8"/>
  <c r="C30" i="8"/>
  <c r="J7" i="2"/>
  <c r="B14" i="2"/>
  <c r="N16" i="8" l="1"/>
  <c r="G45" i="2" s="1"/>
  <c r="F45" i="2"/>
  <c r="N15" i="8"/>
  <c r="G44" i="2" s="1"/>
  <c r="F44" i="2"/>
  <c r="N14" i="8"/>
  <c r="G43" i="2" s="1"/>
  <c r="F43" i="2"/>
  <c r="N13" i="8"/>
  <c r="G42" i="2" s="1"/>
  <c r="F42" i="2"/>
  <c r="N12" i="8"/>
  <c r="G41" i="2" s="1"/>
  <c r="F41" i="2"/>
  <c r="N11" i="8"/>
  <c r="G40" i="2" s="1"/>
  <c r="F40" i="2"/>
  <c r="N10" i="8"/>
  <c r="G39" i="2" s="1"/>
  <c r="F39" i="2"/>
  <c r="E23" i="8"/>
  <c r="F23" i="8" s="1"/>
  <c r="C24" i="8"/>
  <c r="N9" i="8"/>
  <c r="F38" i="2"/>
  <c r="J17" i="8"/>
  <c r="E46" i="2"/>
  <c r="G23" i="8"/>
  <c r="I22" i="8"/>
  <c r="J22" i="8" s="1"/>
  <c r="K23" i="8"/>
  <c r="J8" i="2"/>
  <c r="B24" i="8"/>
  <c r="C29" i="8" l="1"/>
  <c r="B13" i="2" s="1"/>
  <c r="G38" i="2"/>
  <c r="B11" i="2"/>
  <c r="N17" i="8"/>
  <c r="D8" i="2"/>
  <c r="F46" i="2"/>
  <c r="I23" i="8"/>
  <c r="J23" i="8" s="1"/>
  <c r="G24" i="8"/>
  <c r="N22" i="8" l="1"/>
  <c r="G46" i="2"/>
  <c r="G8" i="2"/>
  <c r="N23" i="8"/>
</calcChain>
</file>

<file path=xl/sharedStrings.xml><?xml version="1.0" encoding="utf-8"?>
<sst xmlns="http://schemas.openxmlformats.org/spreadsheetml/2006/main" count="381" uniqueCount="264">
  <si>
    <t>Corporate Budget &amp; Management Report</t>
  </si>
  <si>
    <t>Reporting month (1-12)</t>
  </si>
  <si>
    <t>Model checks</t>
  </si>
  <si>
    <t>REVENUE YTD</t>
  </si>
  <si>
    <t>OPEX YTD</t>
  </si>
  <si>
    <t>OPERATING PROFIT YTD</t>
  </si>
  <si>
    <t>FY PROFIT FORECAST</t>
  </si>
  <si>
    <t>Key takeaways</t>
  </si>
  <si>
    <t>Department status</t>
  </si>
  <si>
    <t>Department</t>
  </si>
  <si>
    <t>YTD budget</t>
  </si>
  <si>
    <t>YTD actual</t>
  </si>
  <si>
    <t>YTD variance</t>
  </si>
  <si>
    <t>Var %</t>
  </si>
  <si>
    <t>Status</t>
  </si>
  <si>
    <t>Commentary</t>
  </si>
  <si>
    <t>Variance convention: cost variance = budget - actual (negative = overspend). OVER BUDGET needs a breach of both the % tolerance and the materiality threshold on Assumptions.</t>
  </si>
  <si>
    <t>Simulation model  |  Budget verification, consolidation and Budget vs Actual reporting</t>
  </si>
  <si>
    <t>Prepared by</t>
  </si>
  <si>
    <t>Lidya Aprillia  |  Data-driven planning professional (media &amp; broadcast)</t>
  </si>
  <si>
    <t>Purpose</t>
  </si>
  <si>
    <t>Simulates one annual budget cycle of a free-to-air TV network: (1) verify departmental budget submissions, (2) consolidate into a corporate and programme budget, (3) report monthly Budget vs Actual with forecast.</t>
  </si>
  <si>
    <t>Data</t>
  </si>
  <si>
    <t>All figures, programmes, thresholds and rules are fictitious and illustrative. They do not represent any company's data, policy or format. Unit: IDR million.</t>
  </si>
  <si>
    <t>How to use</t>
  </si>
  <si>
    <t>1) Dashboard: pick the reporting month (cell C4).  2) Submissions: review status and reviewer notes.  3) Program_Budget: cost per episode, TVR and margin.  4) Assumptions: change thresholds and watch statuses update.  5) Controls: confirm all checks pass.</t>
  </si>
  <si>
    <t>Colour code</t>
  </si>
  <si>
    <t>Blue text = input / hardcode.  Black = formula.  Green = link to another sheet.  Yellow fill = key assumption or selector.</t>
  </si>
  <si>
    <t>Method notes</t>
  </si>
  <si>
    <t>Variance on costs = Budget - Actual (negative = overspend). Variance on revenue / profit = Actual - Budget (negative = shortfall). FY forecast = YTD actual + remaining budget. OVER BUDGET requires both a % breach and a materiality breach (see Assumptions).</t>
  </si>
  <si>
    <t>Contents</t>
  </si>
  <si>
    <t>Executive summary: KPIs, charts, department status, key takeaways</t>
  </si>
  <si>
    <t>Thresholds, department and category lists, monthly phasing</t>
  </si>
  <si>
    <t>TV programme budget: episodes x cost, benchmark, TVR, cost per TVR point, margin</t>
  </si>
  <si>
    <t>Departmental budget submissions with automated verification</t>
  </si>
  <si>
    <t>Corporate budget by department and category</t>
  </si>
  <si>
    <t>Monthly actuals (input from accounting close)</t>
  </si>
  <si>
    <t>Budget vs Actual: month, YTD, forecast, P&amp;L summary, monthly trend</t>
  </si>
  <si>
    <t>Integrity checks across the model</t>
  </si>
  <si>
    <t>Assumptions</t>
  </si>
  <si>
    <t>Single source for thresholds, lists and phasing. Yellow = key assumption. All values illustrative.</t>
  </si>
  <si>
    <t>Fiscal year</t>
  </si>
  <si>
    <t>Unit</t>
  </si>
  <si>
    <t>IDR million</t>
  </si>
  <si>
    <t>YoY increase cap for submissions</t>
  </si>
  <si>
    <t>Illustrative cap; larger increases need justification</t>
  </si>
  <si>
    <t>Over-budget tolerance (% of YTD budget)</t>
  </si>
  <si>
    <t>Illustrative; breach also needs materiality to be flagged OVER BUDGET</t>
  </si>
  <si>
    <t>Materiality threshold (IDR million)</t>
  </si>
  <si>
    <t>Illustrative; ignores small absolute variances</t>
  </si>
  <si>
    <t>FY revenue target (IDR million)</t>
  </si>
  <si>
    <t>Fictitious revenue target</t>
  </si>
  <si>
    <t>Last closed month (1-12)</t>
  </si>
  <si>
    <t>Months after this have no actuals</t>
  </si>
  <si>
    <t>Cost category</t>
  </si>
  <si>
    <t>Programming</t>
  </si>
  <si>
    <t>Program Production</t>
  </si>
  <si>
    <t>News</t>
  </si>
  <si>
    <t>Program Acquisition</t>
  </si>
  <si>
    <t>Production Support</t>
  </si>
  <si>
    <t>Personnel</t>
  </si>
  <si>
    <t>Sales &amp; Marketing</t>
  </si>
  <si>
    <t>News Production</t>
  </si>
  <si>
    <t>Technology</t>
  </si>
  <si>
    <t>Technical</t>
  </si>
  <si>
    <t>HR &amp; GA</t>
  </si>
  <si>
    <t>Licences</t>
  </si>
  <si>
    <t>Finance</t>
  </si>
  <si>
    <t>Marketing</t>
  </si>
  <si>
    <t>Legal &amp; Corsec</t>
  </si>
  <si>
    <t>Commission</t>
  </si>
  <si>
    <t>Operations</t>
  </si>
  <si>
    <t>General</t>
  </si>
  <si>
    <t>Professional Services</t>
  </si>
  <si>
    <t>Capex</t>
  </si>
  <si>
    <t>Month #</t>
  </si>
  <si>
    <t>Total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</si>
  <si>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</si>
  <si>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</si>
  <si>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</si>
  <si>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</si>
  <si>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</si>
  <si>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</si>
  <si>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</si>
  <si>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</si>
  <si>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</si>
  <si>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</si>
  <si>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</si>
  <si>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</si>
  <si>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</si>
  <si>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Opex phasing (% of FY budget)</t>
  </si>
  <si>
    <t>Revenue phasing (% of FY target)</t>
  </si>
  <si>
    <t>Phasing = seasonal spend / revenue pattern across months. Each row must total 100% (see Controls).</t>
  </si>
  <si>
    <t>Programme Budget</t>
  </si>
  <si>
    <t>Episodes x cost per episode, tested against genre benchmark, audience (TVR) and ad revenue. IDR million. Fictitious data.</t>
  </si>
  <si>
    <t>Programme</t>
  </si>
  <si>
    <t>Genre</t>
  </si>
  <si>
    <t>Slot</t>
  </si>
  <si>
    <t>Episodes / yr</t>
  </si>
  <si>
    <t>Cost / episode</t>
  </si>
  <si>
    <t>Total cost</t>
  </si>
  <si>
    <t>Genre benchmark cost / ep</t>
  </si>
  <si>
    <t>vs benchmark</t>
  </si>
  <si>
    <t>Avg TVR (pts)</t>
  </si>
  <si>
    <t>Cost per TVR point</t>
  </si>
  <si>
    <t>Ad revenue / episode</t>
  </si>
  <si>
    <t>Total ad revenue</t>
  </si>
  <si>
    <t>Programme margin</t>
  </si>
  <si>
    <t>Margin %</t>
  </si>
  <si>
    <t>Review flag</t>
  </si>
  <si>
    <t>Prime-time Drama A</t>
  </si>
  <si>
    <t>Drama</t>
  </si>
  <si>
    <t>19:00</t>
  </si>
  <si>
    <t>Weekend Reality Show</t>
  </si>
  <si>
    <t>Reality</t>
  </si>
  <si>
    <t>Sat 20:00</t>
  </si>
  <si>
    <t>Morning Talk Show</t>
  </si>
  <si>
    <t>Talk show</t>
  </si>
  <si>
    <t>07:00</t>
  </si>
  <si>
    <t>Acquired Film Slot</t>
  </si>
  <si>
    <t>Film</t>
  </si>
  <si>
    <t>Sun 21:30</t>
  </si>
  <si>
    <t>Family Quiz</t>
  </si>
  <si>
    <t>Game show</t>
  </si>
  <si>
    <t>17:00</t>
  </si>
  <si>
    <t>Stripping Drama B</t>
  </si>
  <si>
    <t>20:30</t>
  </si>
  <si>
    <t>TOTAL / WEIGHTED AVG</t>
  </si>
  <si>
    <t>Cost per TVR point = cost per episode / average TVR points (a cost-per-rating-point view). Weighted average in J12 = total cost / total TVR points delivered across all episodes.</t>
  </si>
  <si>
    <t>A programme is flagged REVIEW if cost is above benchmark by more than the YoY cap, margin is negative, or cost per TVR point is more than 125% of the weighted average.</t>
  </si>
  <si>
    <t>Ad revenue / episode is the revenue attributed to the programme (illustrative), not total company revenue.</t>
  </si>
  <si>
    <t>Budget Submissions &amp; Verification</t>
  </si>
  <si>
    <t>One row per submission item. Columns G, I, K-M are automatic. To add items, copy a row down (ranges extend to row 80). IDR million. Fictitious data.</t>
  </si>
  <si>
    <t>TOTAL</t>
  </si>
  <si>
    <t>Rule (illustrative): docs missing = declined (0). YoY increase above the cap on Assumptions = approved provisionally at prior-year x (1 + cap); the rest waits for justification. Otherwise approved in full.</t>
  </si>
  <si>
    <t>ID</t>
  </si>
  <si>
    <t>Description</t>
  </si>
  <si>
    <t>Qty / periods</t>
  </si>
  <si>
    <t>Unit cost</t>
  </si>
  <si>
    <t>Requested</t>
  </si>
  <si>
    <t>Prior-year actual</t>
  </si>
  <si>
    <t>YoY change</t>
  </si>
  <si>
    <t>Docs complete? (Y/N)</t>
  </si>
  <si>
    <t>Verification status</t>
  </si>
  <si>
    <t>Recommended approval</t>
  </si>
  <si>
    <t>Reduction</t>
  </si>
  <si>
    <t>Reviewer note</t>
  </si>
  <si>
    <t>FY26-001</t>
  </si>
  <si>
    <t>Y</t>
  </si>
  <si>
    <t>Linked from Program_Budget</t>
  </si>
  <si>
    <t>FY26-002</t>
  </si>
  <si>
    <t>FY26-003</t>
  </si>
  <si>
    <t>FY26-004</t>
  </si>
  <si>
    <t>FY26-005</t>
  </si>
  <si>
    <t>FY26-006</t>
  </si>
  <si>
    <t>FY26-007</t>
  </si>
  <si>
    <t>Newsroom salaries &amp; allowances</t>
  </si>
  <si>
    <t>FY26-008</t>
  </si>
  <si>
    <t>Field coverage &amp; transport</t>
  </si>
  <si>
    <t>FY26-009</t>
  </si>
  <si>
    <t>News agency feed subscription</t>
  </si>
  <si>
    <t>FY26-010</t>
  </si>
  <si>
    <t>Studio rental &amp; crew</t>
  </si>
  <si>
    <t>FY26-011</t>
  </si>
  <si>
    <t>Sets &amp; props</t>
  </si>
  <si>
    <t>Up 50%: request justification for set redesign</t>
  </si>
  <si>
    <t>FY26-012</t>
  </si>
  <si>
    <t>Crew catering &amp; accommodation</t>
  </si>
  <si>
    <t>FY26-013</t>
  </si>
  <si>
    <t>On-air &amp; off-air programme promotion</t>
  </si>
  <si>
    <t>Up 12%: confirm season-launch campaign scope</t>
  </si>
  <si>
    <t>FY26-014</t>
  </si>
  <si>
    <t>Ratings &amp; audience research</t>
  </si>
  <si>
    <t>FY26-015</t>
  </si>
  <si>
    <t>Ad agency commission</t>
  </si>
  <si>
    <t>N</t>
  </si>
  <si>
    <t>Agency contract not attached - hold until received</t>
  </si>
  <si>
    <t>FY26-016</t>
  </si>
  <si>
    <t>Transmission &amp; satellite maintenance</t>
  </si>
  <si>
    <t>FY26-017</t>
  </si>
  <si>
    <t>Software &amp; cloud licences</t>
  </si>
  <si>
    <t>Up 56%: check for new modules</t>
  </si>
  <si>
    <t>FY26-018</t>
  </si>
  <si>
    <t>Broadcast equipment purchase</t>
  </si>
  <si>
    <t>Up 14%: vendor quote needed</t>
  </si>
  <si>
    <t>FY26-019</t>
  </si>
  <si>
    <t>Employee salaries &amp; allowances</t>
  </si>
  <si>
    <t>FY26-020</t>
  </si>
  <si>
    <t>Training &amp; development</t>
  </si>
  <si>
    <t>Up 14%: link to headcount plan</t>
  </si>
  <si>
    <t>FY26-021</t>
  </si>
  <si>
    <t>Building lease, utilities, security</t>
  </si>
  <si>
    <t>FY26-022</t>
  </si>
  <si>
    <t>External audit &amp; tax advisory</t>
  </si>
  <si>
    <t>FY26-023</t>
  </si>
  <si>
    <t>Bank charges &amp; insurance</t>
  </si>
  <si>
    <t>FY26-024</t>
  </si>
  <si>
    <t>Legal counsel &amp; broadcast licensing</t>
  </si>
  <si>
    <t>FY26-025</t>
  </si>
  <si>
    <t>Music copyright &amp; royalties</t>
  </si>
  <si>
    <t>Corporate Budget Consolidation</t>
  </si>
  <si>
    <t>All submissions consolidated at recommended approval, by department and by category. IDR million. Fictitious data.</t>
  </si>
  <si>
    <t>Recommended</t>
  </si>
  <si>
    <t>% reduced</t>
  </si>
  <si>
    <t>Growth vs PY</t>
  </si>
  <si>
    <t>Share of total</t>
  </si>
  <si>
    <t>Department x category matrix (recommended approval)</t>
  </si>
  <si>
    <t>Monthly Actuals</t>
  </si>
  <si>
    <t>Input from the monthly accounting close. Leave future months blank. IDR million. Fictitious data.</t>
  </si>
  <si>
    <t>TOTAL OPEX</t>
  </si>
  <si>
    <t>REVENUE</t>
  </si>
  <si>
    <t>Jan-Sep figures are simulated. Sales &amp; Marketing and Technology are deliberately set above budget so the variance workflow has something to show.</t>
  </si>
  <si>
    <t>Management Report: Budget vs Actual</t>
  </si>
  <si>
    <t>Driven by the reporting month on the Dashboard. Cost variance = Budget - Actual (negative = overspend). IDR million. Fictitious data.</t>
  </si>
  <si>
    <t>Reporting month (#)</t>
  </si>
  <si>
    <t>Reporting period</t>
  </si>
  <si>
    <t>FY budget</t>
  </si>
  <si>
    <t>Month budget</t>
  </si>
  <si>
    <t>Month actual</t>
  </si>
  <si>
    <t>Month variance</t>
  </si>
  <si>
    <t>YTD var %</t>
  </si>
  <si>
    <t>% of FY budget used</t>
  </si>
  <si>
    <t>FY forecast</t>
  </si>
  <si>
    <t>Forecast vs FY budget</t>
  </si>
  <si>
    <t>Variance commentary (input)</t>
  </si>
  <si>
    <t>Extra episodes on Drama A; partly offset by Talk Show savings.</t>
  </si>
  <si>
    <t>Season-launch promo front-loaded in Q3; Q4 commitments under review.</t>
  </si>
  <si>
    <t>Early cloud licence renewal and satellite maintenance true-up (timing).</t>
  </si>
  <si>
    <t>Operating summary</t>
  </si>
  <si>
    <t>Line</t>
  </si>
  <si>
    <t>Revenue</t>
  </si>
  <si>
    <t>Total opex</t>
  </si>
  <si>
    <t>Operating profit</t>
  </si>
  <si>
    <t>Operating margin %</t>
  </si>
  <si>
    <t>Automatic highlights</t>
  </si>
  <si>
    <t>Largest YTD overspend</t>
  </si>
  <si>
    <t>Largest YTD saving</t>
  </si>
  <si>
    <t>Departments flagged OVER BUDGET</t>
  </si>
  <si>
    <t>FY operating profit: forecast vs budget</t>
  </si>
  <si>
    <t>Monthly trend</t>
  </si>
  <si>
    <t>#</t>
  </si>
  <si>
    <t>Opex budget</t>
  </si>
  <si>
    <t>Opex actual</t>
  </si>
  <si>
    <t>Revenue budget</t>
  </si>
  <si>
    <t>Revenue actual</t>
  </si>
  <si>
    <t>Profit budget</t>
  </si>
  <si>
    <t>Profit actual</t>
  </si>
  <si>
    <t>FY</t>
  </si>
  <si>
    <t>Model Integrity Controls</t>
  </si>
  <si>
    <t>Each check should read PASS. The Dashboard shows the overall result.</t>
  </si>
  <si>
    <t>Check</t>
  </si>
  <si>
    <t>Value</t>
  </si>
  <si>
    <t>Expected</t>
  </si>
  <si>
    <t>Result</t>
  </si>
  <si>
    <t>Consolidation matrix total equals department summary</t>
  </si>
  <si>
    <t>Program_Budget total cost equals Programming submissions</t>
  </si>
  <si>
    <t>Opex phasing totals 100%</t>
  </si>
  <si>
    <t>Revenue phasing totals 100%</t>
  </si>
  <si>
    <t>YTD actual in report ties to Actuals sheet</t>
  </si>
  <si>
    <t>Submissions with a department not in the master list</t>
  </si>
  <si>
    <t>Items where recommended approval exceeds request</t>
  </si>
  <si>
    <t>Reporting month is within closed months</t>
  </si>
  <si>
    <t>Missing actuals up to reporting month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</si>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</sst>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;\(0.0%\);&quot;-&quot;"/>
    <numFmt numFmtId="165" formatCode="#,##0;\(#,##0\);&quot;-&quot;"/>
    <numFmt numFmtId="166" formatCode="0.0"/>
    <numFmt numFmtId="167" formatCode="#,##0.0"/>
  </numFmts>
  <fonts count="21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sz val="10"/>
      <color rgb="FFD1D5DB"/>
      <name val="Arial"/>
    </font>
    <font>
      <b/>
      <sz val="10"/>
      <color rgb="FF1F3A5F"/>
      <name val="Arial"/>
    </font>
    <font>
      <sz val="10"/>
      <color rgb="FF1F2937"/>
      <name val="Arial"/>
    </font>
    <font>
      <b/>
      <sz val="11"/>
      <color rgb="FF1F3A5F"/>
      <name val="Arial"/>
    </font>
    <font>
      <u/>
      <sz val="10"/>
      <color rgb="FF0563C1"/>
      <name val="Arial"/>
    </font>
    <font>
      <sz val="10"/>
      <color rgb="FF6B7280"/>
      <name val="Arial"/>
    </font>
    <font>
      <b/>
      <sz val="16"/>
      <color rgb="FF1F2937"/>
      <name val="Arial"/>
    </font>
    <font>
      <i/>
      <sz val="9"/>
      <color rgb="FF6B7280"/>
      <name val="Arial"/>
    </font>
    <font>
      <b/>
      <sz val="10"/>
      <color rgb="FF1F2937"/>
      <name val="Arial"/>
    </font>
    <font>
      <sz val="10"/>
      <color rgb="FF0000FF"/>
      <name val="Arial"/>
    </font>
    <font>
      <b/>
      <sz val="9"/>
      <color rgb="FFFFFFFF"/>
      <name val="Arial"/>
    </font>
    <font>
      <sz val="10"/>
      <color rgb="FF008000"/>
      <name val="Arial"/>
    </font>
    <font>
      <sz val="8"/>
      <color rgb="FF6B7280"/>
      <name val="Arial"/>
    </font>
    <font>
      <b/>
      <sz val="18"/>
      <color rgb="FFFFFFFF"/>
      <name val="Arial"/>
    </font>
    <font>
      <sz val="9"/>
      <color rgb="FFD1D5DB"/>
      <name val="Arial"/>
    </font>
    <font>
      <b/>
      <sz val="8"/>
      <color rgb="FF6B7280"/>
      <name val="Arial"/>
    </font>
    <font>
      <b/>
      <sz val="20"/>
      <color rgb="FF1F2937"/>
      <name val="Arial"/>
    </font>
    <font>
      <b/>
      <sz val="9"/>
      <color rgb="FF375623"/>
      <name val="Arial"/>
    </font>
    <font>
      <i/>
      <sz val="8"/>
      <color rgb="FF6B728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1F3A5F"/>
      </patternFill>
    </fill>
  </fills>
  <borders count="15">
    <border>
      <left/>
      <right/>
      <top/>
      <bottom/>
      <diagonal/>
    </border>
    <border>
      <left/>
      <right/>
      <top/>
      <bottom style="hair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/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/>
      <bottom/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16" fillId="2" borderId="0" xfId="0" applyFont="1" applyFill="1"/>
    <xf numFmtId="0" fontId="10" fillId="3" borderId="2" xfId="0" applyFont="1" applyFill="1" applyBorder="1"/>
    <xf numFmtId="1" fontId="11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14" xfId="0" applyFont="1" applyBorder="1"/>
    <xf numFmtId="0" fontId="0" fillId="0" borderId="14" xfId="0" applyBorder="1"/>
    <xf numFmtId="0" fontId="12" fillId="5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165" fontId="4" fillId="0" borderId="2" xfId="0" applyNumberFormat="1" applyFont="1" applyBorder="1"/>
    <xf numFmtId="164" fontId="4" fillId="0" borderId="2" xfId="0" applyNumberFormat="1" applyFont="1" applyBorder="1"/>
    <xf numFmtId="165" fontId="10" fillId="3" borderId="2" xfId="0" applyNumberFormat="1" applyFont="1" applyFill="1" applyBorder="1"/>
    <xf numFmtId="164" fontId="10" fillId="3" borderId="2" xfId="0" applyNumberFormat="1" applyFont="1" applyFill="1" applyBorder="1"/>
    <xf numFmtId="0" fontId="10" fillId="3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20" fillId="0" borderId="0" xfId="0" applyFont="1"/>
    <xf numFmtId="0" fontId="8" fillId="0" borderId="0" xfId="0" applyFont="1"/>
    <xf numFmtId="0" fontId="9" fillId="0" borderId="0" xfId="0" applyFont="1"/>
    <xf numFmtId="0" fontId="11" fillId="4" borderId="2" xfId="0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5" fontId="11" fillId="4" borderId="2" xfId="0" applyNumberFormat="1" applyFont="1" applyFill="1" applyBorder="1" applyAlignment="1">
      <alignment horizontal="right" vertical="center"/>
    </xf>
    <xf numFmtId="1" fontId="11" fillId="4" borderId="2" xfId="0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164" fontId="11" fillId="4" borderId="2" xfId="0" applyNumberFormat="1" applyFont="1" applyFill="1" applyBorder="1"/>
    <xf numFmtId="165" fontId="11" fillId="0" borderId="2" xfId="0" applyNumberFormat="1" applyFont="1" applyBorder="1"/>
    <xf numFmtId="166" fontId="11" fillId="0" borderId="2" xfId="0" applyNumberFormat="1" applyFont="1" applyBorder="1"/>
    <xf numFmtId="167" fontId="4" fillId="0" borderId="2" xfId="0" applyNumberFormat="1" applyFont="1" applyBorder="1"/>
    <xf numFmtId="165" fontId="4" fillId="3" borderId="2" xfId="0" applyNumberFormat="1" applyFont="1" applyFill="1" applyBorder="1"/>
    <xf numFmtId="167" fontId="10" fillId="3" borderId="2" xfId="0" applyNumberFormat="1" applyFont="1" applyFill="1" applyBorder="1"/>
    <xf numFmtId="165" fontId="13" fillId="0" borderId="2" xfId="0" applyNumberFormat="1" applyFont="1" applyBorder="1"/>
    <xf numFmtId="0" fontId="13" fillId="0" borderId="2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0" fontId="10" fillId="0" borderId="2" xfId="0" applyFont="1" applyBorder="1"/>
    <xf numFmtId="1" fontId="1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/>
    <xf numFmtId="4" fontId="11" fillId="0" borderId="2" xfId="0" applyNumberFormat="1" applyFont="1" applyBorder="1"/>
    <xf numFmtId="1" fontId="13" fillId="0" borderId="2" xfId="0" applyNumberFormat="1" applyFont="1" applyBorder="1"/>
    <xf numFmtId="0" fontId="17" fillId="3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5" fontId="18" fillId="3" borderId="9" xfId="0" applyNumberFormat="1" applyFont="1" applyFill="1" applyBorder="1" applyAlignment="1">
      <alignment horizontal="center" vertical="center"/>
    </xf>
    <xf numFmtId="0" fontId="0" fillId="0" borderId="10" xfId="0" applyBorder="1"/>
    <xf numFmtId="0" fontId="4" fillId="0" borderId="2" xfId="0" applyFont="1" applyBorder="1"/>
    <xf numFmtId="0" fontId="0" fillId="0" borderId="2" xfId="0" applyBorder="1"/>
    <xf numFmtId="0" fontId="0" fillId="0" borderId="0" xfId="0"/>
    <xf numFmtId="0" fontId="4" fillId="0" borderId="0" xfId="0" applyFont="1" applyAlignment="1">
      <alignment vertical="center" indent="1"/>
    </xf>
    <xf numFmtId="0" fontId="4" fillId="3" borderId="2" xfId="0" applyFont="1" applyFill="1" applyBorder="1"/>
    <xf numFmtId="0" fontId="19" fillId="3" borderId="11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2" xfId="0" applyBorder="1"/>
    <xf numFmtId="0" fontId="4" fillId="0" borderId="2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/>
    <xf numFmtId="0" fontId="10" fillId="3" borderId="2" xfId="0" applyFont="1" applyFill="1" applyBorder="1" applyAlignment="1">
      <alignment horizontal="right" vertical="center"/>
    </xf>
    <xf numFmtId="0" fontId="0" fillId="3" borderId="2" xfId="0" applyFill="1" applyBorder="1"/>
    <xf numFmtId="0" fontId="13" fillId="0" borderId="2" xfId="0" applyFont="1" applyBorder="1" applyAlignment="1">
      <alignment horizontal="center" vertical="center"/>
    </xf>
    <xf numFmtId="0" fontId="10" fillId="3" borderId="2" xfId="0" applyFont="1" applyFill="1" applyBorder="1"/>
    <xf numFmtId="1" fontId="4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25"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b/>
        <color rgb="FF9C0006"/>
      </font>
    </dxf>
    <dxf>
      <font>
        <color rgb="FF375623"/>
      </font>
      <fill>
        <patternFill patternType="solid">
          <bgColor rgb="FFE2F0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9C0006"/>
      </font>
      <fill>
        <patternFill patternType="solid">
          <bgColor rgb="FFF8D7DA"/>
        </patternFill>
      </fill>
    </dxf>
    <dxf>
      <font>
        <b/>
        <color rgb="FF9C0006"/>
      </font>
    </dxf>
    <dxf>
      <font>
        <b/>
        <color rgb="FF9C0006"/>
      </font>
    </dxf>
    <dxf>
      <font>
        <b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YTD budget vs actual by department (IDR m)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Mgmt_Report!$G$8</c:f>
              <c:strCache>
                <c:ptCount val="1"/>
                <c:pt idx="0">
                  <c:v>YTD budget</c:v>
                </c:pt>
              </c:strCache>
            </c:strRef>
          </c:tx>
          <c:spPr>
            <a:solidFill>
              <a:srgbClr val="B7C4D6"/>
            </a:solidFill>
            <a:ln>
              <a:prstDash val="solid"/>
            </a:ln>
          </c:spPr>
          <c:invertIfNegative val="1"/>
          <c:cat>
            <c:strRef>
              <c:f>Mgmt_Report!$A$9:$A$16</c:f>
              <c:strCache>
                <c:ptCount val="8"/>
                <c:pt idx="0">
                  <c:v>Programming</c:v>
                </c:pt>
                <c:pt idx="1">
                  <c:v>News</c:v>
                </c:pt>
                <c:pt idx="2">
                  <c:v>Production Support</c:v>
                </c:pt>
                <c:pt idx="3">
                  <c:v>Sales &amp; Marketing</c:v>
                </c:pt>
                <c:pt idx="4">
                  <c:v>Technology</c:v>
                </c:pt>
                <c:pt idx="5">
                  <c:v>HR &amp; GA</c:v>
                </c:pt>
                <c:pt idx="6">
                  <c:v>Finance</c:v>
                </c:pt>
                <c:pt idx="7">
                  <c:v>Legal &amp; Corsec</c:v>
                </c:pt>
              </c:strCache>
            </c:strRef>
          </c:cat>
          <c:val>
            <c:numRef>
              <c:f>Mgmt_Report!$G$9:$G$16</c:f>
              <c:numCache>
                <c:formatCode>#,##0;\(#,##0\);"-"</c:formatCode>
                <c:ptCount val="8"/>
                <c:pt idx="0">
                  <c:v>189537.19999999998</c:v>
                </c:pt>
                <c:pt idx="1">
                  <c:v>59933</c:v>
                </c:pt>
                <c:pt idx="2">
                  <c:v>40296</c:v>
                </c:pt>
                <c:pt idx="3">
                  <c:v>33215</c:v>
                </c:pt>
                <c:pt idx="4">
                  <c:v>55553</c:v>
                </c:pt>
                <c:pt idx="5">
                  <c:v>73204.399999999994</c:v>
                </c:pt>
                <c:pt idx="6">
                  <c:v>7665</c:v>
                </c:pt>
                <c:pt idx="7">
                  <c:v>7373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00C-40D6-A33F-9A9A0025C606}"/>
            </c:ext>
          </c:extLst>
        </c:ser>
        <c:ser>
          <c:idx val="1"/>
          <c:order val="1"/>
          <c:tx>
            <c:strRef>
              <c:f>Mgmt_Report!$H$8</c:f>
              <c:strCache>
                <c:ptCount val="1"/>
                <c:pt idx="0">
                  <c:v>YTD actual</c:v>
                </c:pt>
              </c:strCache>
            </c:strRef>
          </c:tx>
          <c:spPr>
            <a:solidFill>
              <a:srgbClr val="1F3A5F"/>
            </a:solidFill>
            <a:ln>
              <a:prstDash val="solid"/>
            </a:ln>
          </c:spPr>
          <c:invertIfNegative val="1"/>
          <c:cat>
            <c:strRef>
              <c:f>Mgmt_Report!$A$9:$A$16</c:f>
              <c:strCache>
                <c:ptCount val="8"/>
                <c:pt idx="0">
                  <c:v>Programming</c:v>
                </c:pt>
                <c:pt idx="1">
                  <c:v>News</c:v>
                </c:pt>
                <c:pt idx="2">
                  <c:v>Production Support</c:v>
                </c:pt>
                <c:pt idx="3">
                  <c:v>Sales &amp; Marketing</c:v>
                </c:pt>
                <c:pt idx="4">
                  <c:v>Technology</c:v>
                </c:pt>
                <c:pt idx="5">
                  <c:v>HR &amp; GA</c:v>
                </c:pt>
                <c:pt idx="6">
                  <c:v>Finance</c:v>
                </c:pt>
                <c:pt idx="7">
                  <c:v>Legal &amp; Corsec</c:v>
                </c:pt>
              </c:strCache>
            </c:strRef>
          </c:cat>
          <c:val>
            <c:numRef>
              <c:f>Mgmt_Report!$H$9:$H$16</c:f>
              <c:numCache>
                <c:formatCode>#,##0;\(#,##0\);"-"</c:formatCode>
                <c:ptCount val="8"/>
                <c:pt idx="0">
                  <c:v>192621</c:v>
                </c:pt>
                <c:pt idx="1">
                  <c:v>58969</c:v>
                </c:pt>
                <c:pt idx="2">
                  <c:v>39208</c:v>
                </c:pt>
                <c:pt idx="3">
                  <c:v>37032</c:v>
                </c:pt>
                <c:pt idx="4">
                  <c:v>59808</c:v>
                </c:pt>
                <c:pt idx="5">
                  <c:v>70431</c:v>
                </c:pt>
                <c:pt idx="6">
                  <c:v>7453</c:v>
                </c:pt>
                <c:pt idx="7">
                  <c:v>7153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00C-40D6-A33F-9A9A0025C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Monthly opex: budget vs actual (IDR m)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Mgmt_Report!$C$34</c:f>
              <c:strCache>
                <c:ptCount val="1"/>
                <c:pt idx="0">
                  <c:v>Opex budget</c:v>
                </c:pt>
              </c:strCache>
            </c:strRef>
          </c:tx>
          <c:spPr>
            <a:solidFill>
              <a:srgbClr val="B7C4D6"/>
            </a:solidFill>
            <a:ln>
              <a:prstDash val="solid"/>
            </a:ln>
          </c:spPr>
          <c:invertIfNegative val="1"/>
          <c:cat>
            <c:strRef>
              <c:f>Mgmt_Report!$B$35:$B$46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Mgmt_Report!$C$35:$C$46</c:f>
              <c:numCache>
                <c:formatCode>#,##0;\(#,##0\);"-"</c:formatCode>
                <c:ptCount val="12"/>
                <c:pt idx="0">
                  <c:v>44759.4</c:v>
                </c:pt>
                <c:pt idx="1">
                  <c:v>44759.4</c:v>
                </c:pt>
                <c:pt idx="2">
                  <c:v>51153.599999999999</c:v>
                </c:pt>
                <c:pt idx="3">
                  <c:v>51153.599999999999</c:v>
                </c:pt>
                <c:pt idx="4">
                  <c:v>51153.599999999999</c:v>
                </c:pt>
                <c:pt idx="5">
                  <c:v>51153.599999999999</c:v>
                </c:pt>
                <c:pt idx="6">
                  <c:v>57547.799999999996</c:v>
                </c:pt>
                <c:pt idx="7">
                  <c:v>57547.799999999996</c:v>
                </c:pt>
                <c:pt idx="8">
                  <c:v>57547.799999999996</c:v>
                </c:pt>
                <c:pt idx="9">
                  <c:v>57547.799999999996</c:v>
                </c:pt>
                <c:pt idx="10">
                  <c:v>57547.799999999996</c:v>
                </c:pt>
                <c:pt idx="11">
                  <c:v>57547.799999999996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285-43F8-B07F-30326BBEFBD0}"/>
            </c:ext>
          </c:extLst>
        </c:ser>
        <c:ser>
          <c:idx val="1"/>
          <c:order val="1"/>
          <c:tx>
            <c:strRef>
              <c:f>Mgmt_Report!$D$34</c:f>
              <c:strCache>
                <c:ptCount val="1"/>
                <c:pt idx="0">
                  <c:v>Opex actual</c:v>
                </c:pt>
              </c:strCache>
            </c:strRef>
          </c:tx>
          <c:spPr>
            <a:solidFill>
              <a:srgbClr val="1F3A5F"/>
            </a:solidFill>
            <a:ln>
              <a:prstDash val="solid"/>
            </a:ln>
          </c:spPr>
          <c:invertIfNegative val="1"/>
          <c:cat>
            <c:strRef>
              <c:f>Mgmt_Report!$B$35:$B$46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Mgmt_Report!$D$35:$D$46</c:f>
              <c:numCache>
                <c:formatCode>#,##0;\(#,##0\);"-"</c:formatCode>
                <c:ptCount val="12"/>
                <c:pt idx="0">
                  <c:v>46145</c:v>
                </c:pt>
                <c:pt idx="1">
                  <c:v>44501</c:v>
                </c:pt>
                <c:pt idx="2">
                  <c:v>51325</c:v>
                </c:pt>
                <c:pt idx="3">
                  <c:v>51965</c:v>
                </c:pt>
                <c:pt idx="4">
                  <c:v>51362</c:v>
                </c:pt>
                <c:pt idx="5">
                  <c:v>52057</c:v>
                </c:pt>
                <c:pt idx="6">
                  <c:v>59177</c:v>
                </c:pt>
                <c:pt idx="7">
                  <c:v>57700</c:v>
                </c:pt>
                <c:pt idx="8">
                  <c:v>58443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285-43F8-B07F-30326BBEF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Requested vs recommended by department (IDR m)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Consolidation!$B$5</c:f>
              <c:strCache>
                <c:ptCount val="1"/>
                <c:pt idx="0">
                  <c:v>Requested</c:v>
                </c:pt>
              </c:strCache>
            </c:strRef>
          </c:tx>
          <c:spPr>
            <a:solidFill>
              <a:srgbClr val="B7C4D6"/>
            </a:solidFill>
            <a:ln>
              <a:prstDash val="solid"/>
            </a:ln>
          </c:spPr>
          <c:invertIfNegative val="1"/>
          <c:cat>
            <c:strRef>
              <c:f>Consolidation!$A$6:$A$13</c:f>
              <c:strCache>
                <c:ptCount val="8"/>
                <c:pt idx="0">
                  <c:v>Programming</c:v>
                </c:pt>
                <c:pt idx="1">
                  <c:v>News</c:v>
                </c:pt>
                <c:pt idx="2">
                  <c:v>Production Support</c:v>
                </c:pt>
                <c:pt idx="3">
                  <c:v>Sales &amp; Marketing</c:v>
                </c:pt>
                <c:pt idx="4">
                  <c:v>Technology</c:v>
                </c:pt>
                <c:pt idx="5">
                  <c:v>HR &amp; GA</c:v>
                </c:pt>
                <c:pt idx="6">
                  <c:v>Finance</c:v>
                </c:pt>
                <c:pt idx="7">
                  <c:v>Legal &amp; Corsec</c:v>
                </c:pt>
              </c:strCache>
            </c:strRef>
          </c:cat>
          <c:val>
            <c:numRef>
              <c:f>Consolidation!$B$6:$B$13</c:f>
              <c:numCache>
                <c:formatCode>#,##0;\(#,##0\);"-"</c:formatCode>
                <c:ptCount val="8"/>
                <c:pt idx="0">
                  <c:v>259660</c:v>
                </c:pt>
                <c:pt idx="1">
                  <c:v>82100</c:v>
                </c:pt>
                <c:pt idx="2">
                  <c:v>60000</c:v>
                </c:pt>
                <c:pt idx="3">
                  <c:v>76000</c:v>
                </c:pt>
                <c:pt idx="4">
                  <c:v>81000</c:v>
                </c:pt>
                <c:pt idx="5">
                  <c:v>100400</c:v>
                </c:pt>
                <c:pt idx="6">
                  <c:v>10500</c:v>
                </c:pt>
                <c:pt idx="7">
                  <c:v>10100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F0-4862-94AA-18C440C33641}"/>
            </c:ext>
          </c:extLst>
        </c:ser>
        <c:ser>
          <c:idx val="1"/>
          <c:order val="1"/>
          <c:tx>
            <c:strRef>
              <c:f>Consolidation!$C$5</c:f>
              <c:strCache>
                <c:ptCount val="1"/>
                <c:pt idx="0">
                  <c:v>Recommended</c:v>
                </c:pt>
              </c:strCache>
            </c:strRef>
          </c:tx>
          <c:spPr>
            <a:solidFill>
              <a:srgbClr val="1F3A5F"/>
            </a:solidFill>
            <a:ln>
              <a:prstDash val="solid"/>
            </a:ln>
          </c:spPr>
          <c:invertIfNegative val="1"/>
          <c:cat>
            <c:strRef>
              <c:f>Consolidation!$A$6:$A$13</c:f>
              <c:strCache>
                <c:ptCount val="8"/>
                <c:pt idx="0">
                  <c:v>Programming</c:v>
                </c:pt>
                <c:pt idx="1">
                  <c:v>News</c:v>
                </c:pt>
                <c:pt idx="2">
                  <c:v>Production Support</c:v>
                </c:pt>
                <c:pt idx="3">
                  <c:v>Sales &amp; Marketing</c:v>
                </c:pt>
                <c:pt idx="4">
                  <c:v>Technology</c:v>
                </c:pt>
                <c:pt idx="5">
                  <c:v>HR &amp; GA</c:v>
                </c:pt>
                <c:pt idx="6">
                  <c:v>Finance</c:v>
                </c:pt>
                <c:pt idx="7">
                  <c:v>Legal &amp; Corsec</c:v>
                </c:pt>
              </c:strCache>
            </c:strRef>
          </c:cat>
          <c:val>
            <c:numRef>
              <c:f>Consolidation!$C$6:$C$13</c:f>
              <c:numCache>
                <c:formatCode>#,##0;\(#,##0\);"-"</c:formatCode>
                <c:ptCount val="8"/>
                <c:pt idx="0">
                  <c:v>259640</c:v>
                </c:pt>
                <c:pt idx="1">
                  <c:v>82100</c:v>
                </c:pt>
                <c:pt idx="2">
                  <c:v>55200</c:v>
                </c:pt>
                <c:pt idx="3">
                  <c:v>45500</c:v>
                </c:pt>
                <c:pt idx="4">
                  <c:v>76100</c:v>
                </c:pt>
                <c:pt idx="5">
                  <c:v>100280</c:v>
                </c:pt>
                <c:pt idx="6">
                  <c:v>10500</c:v>
                </c:pt>
                <c:pt idx="7">
                  <c:v>10100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0F0-4862-94AA-18C440C33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</xdr:row>
      <xdr:rowOff>0</xdr:rowOff>
    </xdr:from>
    <xdr:ext cx="486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16</xdr:row>
      <xdr:rowOff>0</xdr:rowOff>
    </xdr:from>
    <xdr:ext cx="4860000" cy="30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720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937"/>
    <pageSetUpPr fitToPage="1"/>
  </sheetPr>
  <dimension ref="A1:C21"/>
  <sheetViews>
    <sheetView showGridLines="0" workbookViewId="0"/>
  </sheetViews>
  <sheetFormatPr defaultRowHeight="15" x14ac:dyDescent="0.25"/>
  <cols>
    <col min="1" max="1" width="3" customWidth="1"/>
    <col min="2" max="2" width="26" customWidth="1"/>
    <col min="3" max="3" width="90" customWidth="1"/>
  </cols>
  <sheetData>
    <row r="1" spans="1:3" x14ac:dyDescent="0.25">
      <c r="A1" s="1"/>
      <c r="B1" s="1"/>
      <c r="C1" s="1"/>
    </row>
    <row r="2" spans="1:3" ht="30" customHeight="1" x14ac:dyDescent="0.4">
      <c r="A2" s="1"/>
      <c r="B2" s="2" t="s">
        <v>0</v>
      </c>
      <c r="C2" s="1"/>
    </row>
    <row r="3" spans="1:3" x14ac:dyDescent="0.25">
      <c r="A3" s="1"/>
      <c r="B3" s="3" t="s">
        <v>17</v>
      </c>
      <c r="C3" s="1"/>
    </row>
    <row r="4" spans="1:3" x14ac:dyDescent="0.25">
      <c r="A4" s="1"/>
      <c r="B4" s="1"/>
      <c r="C4" s="1"/>
    </row>
    <row r="6" spans="1:3" ht="30" customHeight="1" x14ac:dyDescent="0.25">
      <c r="B6" s="4" t="s">
        <v>18</v>
      </c>
      <c r="C6" s="5" t="s">
        <v>19</v>
      </c>
    </row>
    <row r="7" spans="1:3" ht="45.95" customHeight="1" x14ac:dyDescent="0.25">
      <c r="B7" s="4" t="s">
        <v>20</v>
      </c>
      <c r="C7" s="5" t="s">
        <v>21</v>
      </c>
    </row>
    <row r="8" spans="1:3" ht="45.95" customHeight="1" x14ac:dyDescent="0.25">
      <c r="B8" s="4" t="s">
        <v>22</v>
      </c>
      <c r="C8" s="5" t="s">
        <v>23</v>
      </c>
    </row>
    <row r="9" spans="1:3" ht="45.95" customHeight="1" x14ac:dyDescent="0.25">
      <c r="B9" s="4" t="s">
        <v>24</v>
      </c>
      <c r="C9" s="5" t="s">
        <v>25</v>
      </c>
    </row>
    <row r="10" spans="1:3" ht="45.95" customHeight="1" x14ac:dyDescent="0.25">
      <c r="B10" s="4" t="s">
        <v>26</v>
      </c>
      <c r="C10" s="5" t="s">
        <v>27</v>
      </c>
    </row>
    <row r="11" spans="1:3" ht="45.95" customHeight="1" x14ac:dyDescent="0.25">
      <c r="B11" s="4" t="s">
        <v>28</v>
      </c>
      <c r="C11" s="5" t="s">
        <v>29</v>
      </c>
    </row>
    <row r="13" spans="1:3" x14ac:dyDescent="0.25">
      <c r="B13" s="6" t="s">
        <v>30</v>
      </c>
    </row>
    <row r="14" spans="1:3" x14ac:dyDescent="0.25">
      <c r="B14" s="7" t="str">
        <f>HYPERLINK("#'Dashboard'!A1","Dashboard")</f>
        <v>Dashboard</v>
      </c>
      <c r="C14" s="8" t="s">
        <v>31</v>
      </c>
    </row>
    <row r="15" spans="1:3" x14ac:dyDescent="0.25">
      <c r="B15" s="7" t="str">
        <f>HYPERLINK("#'Assumptions'!A1","Assumptions")</f>
        <v>Assumptions</v>
      </c>
      <c r="C15" s="8" t="s">
        <v>32</v>
      </c>
    </row>
    <row r="16" spans="1:3" x14ac:dyDescent="0.25">
      <c r="B16" s="7" t="str">
        <f>HYPERLINK("#'Program_Budget'!A1","Program_Budget")</f>
        <v>Program_Budget</v>
      </c>
      <c r="C16" s="8" t="s">
        <v>33</v>
      </c>
    </row>
    <row r="17" spans="2:3" x14ac:dyDescent="0.25">
      <c r="B17" s="7" t="str">
        <f>HYPERLINK("#'Submissions'!A1","Submissions")</f>
        <v>Submissions</v>
      </c>
      <c r="C17" s="8" t="s">
        <v>34</v>
      </c>
    </row>
    <row r="18" spans="2:3" x14ac:dyDescent="0.25">
      <c r="B18" s="7" t="str">
        <f>HYPERLINK("#'Consolidation'!A1","Consolidation")</f>
        <v>Consolidation</v>
      </c>
      <c r="C18" s="8" t="s">
        <v>35</v>
      </c>
    </row>
    <row r="19" spans="2:3" x14ac:dyDescent="0.25">
      <c r="B19" s="7" t="str">
        <f>HYPERLINK("#'Actuals'!A1","Actuals")</f>
        <v>Actuals</v>
      </c>
      <c r="C19" s="8" t="s">
        <v>36</v>
      </c>
    </row>
    <row r="20" spans="2:3" x14ac:dyDescent="0.25">
      <c r="B20" s="7" t="str">
        <f>HYPERLINK("#'Mgmt_Report'!A1","Mgmt_Report")</f>
        <v>Mgmt_Report</v>
      </c>
      <c r="C20" s="8" t="s">
        <v>37</v>
      </c>
    </row>
    <row r="21" spans="2:3" x14ac:dyDescent="0.25">
      <c r="B21" s="7" t="str">
        <f>HYPERLINK("#'Controls'!A1","Controls")</f>
        <v>Controls</v>
      </c>
      <c r="C21" s="8" t="s">
        <v>38</v>
      </c>
    </row>
  </sheetData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A5F"/>
    <pageSetUpPr fitToPage="1"/>
  </sheetPr>
  <dimension ref="A1:M48"/>
  <sheetViews>
    <sheetView showGridLines="0" tabSelected="1" workbookViewId="0">
      <pane ySplit="4" topLeftCell="A5" activePane="bottomLeft" state="frozen"/>
      <selection pane="bottomLeft" activeCell="C4" sqref="C4"/>
    </sheetView>
  </sheetViews>
  <sheetFormatPr defaultRowHeight="15" x14ac:dyDescent="0.25"/>
  <cols>
    <col min="1" max="1" width="2" customWidth="1"/>
    <col min="2" max="2" width="24" customWidth="1"/>
    <col min="3" max="6" width="12.42578125" customWidth="1"/>
    <col min="7" max="7" width="15.42578125" customWidth="1"/>
    <col min="8" max="12" width="12.42578125" customWidth="1"/>
    <col min="13" max="13" width="2" customWidth="1"/>
  </cols>
  <sheetData>
    <row r="1" spans="1:13" ht="30" customHeight="1" x14ac:dyDescent="0.35">
      <c r="A1" s="9"/>
      <c r="B1" s="10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1"/>
      <c r="B2" s="12" t="str">
        <f>"FY"&amp;Assumptions!C4&amp;"  |  IDR million  |  Simulation with fictitious data"</f>
        <v>FY2026  |  IDR million  |  Simulation with fictitious data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25">
      <c r="B4" s="13" t="s">
        <v>1</v>
      </c>
      <c r="C4" s="14">
        <v>9</v>
      </c>
      <c r="D4" s="67" t="str">
        <f>INDEX(Assumptions!$C$29:$N$29,$C$4)&amp;" "&amp;Assumptions!$C$4</f>
        <v>Sep 2026</v>
      </c>
      <c r="E4" s="60"/>
      <c r="I4" s="71" t="s">
        <v>2</v>
      </c>
      <c r="J4" s="72"/>
      <c r="K4" s="73" t="str">
        <f>Controls!$E$15</f>
        <v>ALL CHECKS PASSED</v>
      </c>
      <c r="L4" s="60"/>
    </row>
    <row r="6" spans="1:13" ht="18" customHeight="1" x14ac:dyDescent="0.25">
      <c r="B6" s="54" t="s">
        <v>3</v>
      </c>
      <c r="C6" s="56"/>
      <c r="D6" s="54" t="s">
        <v>4</v>
      </c>
      <c r="E6" s="55"/>
      <c r="F6" s="56"/>
      <c r="G6" s="54" t="s">
        <v>5</v>
      </c>
      <c r="H6" s="55"/>
      <c r="I6" s="56"/>
      <c r="J6" s="54" t="s">
        <v>6</v>
      </c>
      <c r="K6" s="55"/>
      <c r="L6" s="56"/>
    </row>
    <row r="7" spans="1:13" ht="33.950000000000003" customHeight="1" x14ac:dyDescent="0.25">
      <c r="B7" s="57">
        <f>Mgmt_Report!H21</f>
        <v>567207</v>
      </c>
      <c r="C7" s="58"/>
      <c r="D7" s="57">
        <f>Mgmt_Report!H17</f>
        <v>472675</v>
      </c>
      <c r="E7" s="61"/>
      <c r="F7" s="58"/>
      <c r="G7" s="57">
        <f>Mgmt_Report!H23</f>
        <v>94532</v>
      </c>
      <c r="H7" s="61"/>
      <c r="I7" s="58"/>
      <c r="J7" s="57">
        <f>Mgmt_Report!L23</f>
        <v>145888.59999999998</v>
      </c>
      <c r="K7" s="61"/>
      <c r="L7" s="58"/>
    </row>
    <row r="8" spans="1:13" ht="18" customHeight="1" x14ac:dyDescent="0.25">
      <c r="B8" s="64" t="str">
        <f>FIXED(ABS(Mgmt_Report!J21)*100,1)&amp;"% "&amp;IF(Mgmt_Report!J21&lt;0,"below","above")&amp;" budget"</f>
        <v>1,5% below budget</v>
      </c>
      <c r="C8" s="66"/>
      <c r="D8" s="64" t="str">
        <f>FIXED(ABS(Mgmt_Report!J17)*100,1)&amp;"% "&amp;IF(Mgmt_Report!J17&lt;0,"over","under")&amp;" budget"</f>
        <v>1,3% over budget</v>
      </c>
      <c r="E8" s="65"/>
      <c r="F8" s="66"/>
      <c r="G8" s="64" t="str">
        <f>FIXED(ABS(Mgmt_Report!J23)*100,1)&amp;"% "&amp;IF(Mgmt_Report!J23&lt;0,"below","above")&amp;" budget"</f>
        <v>13,5% below budget</v>
      </c>
      <c r="H8" s="65"/>
      <c r="I8" s="66"/>
      <c r="J8" s="64" t="str">
        <f>"vs budget "&amp;FIXED(Mgmt_Report!B23,0)&amp;"m ("&amp;FIXED(Mgmt_Report!M23,0)&amp;"m)"</f>
        <v>vs budget 160.580m (-14.691m)</v>
      </c>
      <c r="K8" s="65"/>
      <c r="L8" s="66"/>
    </row>
    <row r="10" spans="1:13" x14ac:dyDescent="0.25">
      <c r="B10" s="17" t="s">
        <v>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3" ht="18" customHeight="1" x14ac:dyDescent="0.25">
      <c r="B11" s="62" t="str">
        <f>"Opex YTD IDR "&amp;FIXED(Mgmt_Report!H17,0)&amp;"m vs budget IDR "&amp;FIXED(Mgmt_Report!G17,0)&amp;"m: "&amp;FIXED(ABS(Mgmt_Report!J17)*100,1)&amp;"% "&amp;IF(Mgmt_Report!J17&lt;0,"over","under")&amp;" budget."</f>
        <v>Opex YTD IDR 472.675m vs budget IDR 466.777m: 1,3% over budget.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1:13" ht="18" customHeight="1" x14ac:dyDescent="0.25">
      <c r="B12" s="62" t="str">
        <f>"Revenue YTD IDR "&amp;FIXED(Mgmt_Report!H21,0)&amp;"m vs target IDR "&amp;FIXED(Mgmt_Report!G21,0)&amp;"m: "&amp;FIXED(ABS(Mgmt_Report!J21)*100,1)&amp;"% "&amp;IF(Mgmt_Report!J21&lt;0,"below","above")&amp;" target."</f>
        <v>Revenue YTD IDR 567.207m vs target IDR 576.000m: 1,5% below target.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3" ht="18" customHeight="1" x14ac:dyDescent="0.25">
      <c r="B13" s="62" t="str">
        <f>"Largest overspend: "&amp;Mgmt_Report!C27&amp;"; "&amp;Mgmt_Report!C29&amp;" department(s) flagged OVER BUDGET."</f>
        <v>Largest overspend: Technology (IDR -4.255m); 2 department(s) flagged OVER BUDGET.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</row>
    <row r="14" spans="1:13" ht="18" customHeight="1" x14ac:dyDescent="0.25">
      <c r="B14" s="62" t="str">
        <f>"FY outlook: operating profit IDR "&amp;FIXED(Mgmt_Report!L23,0)&amp;"m vs budget IDR "&amp;FIXED(Mgmt_Report!B23,0)&amp;"m (assumes remaining months run at budget)."</f>
        <v>FY outlook: operating profit IDR 145.889m vs budget IDR 160.580m (assumes remaining months run at budget).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3" ht="18" customHeight="1" x14ac:dyDescent="0.25">
      <c r="B15" s="62" t="str">
        <f>"Submissions: "&amp;COUNTIF(Submissions!$K$7:$K$80,"REVIEW*")&amp;" item(s) capped pending justification, "&amp;COUNTIF(Submissions!$K$7:$K$80,"DECLINED*")&amp;" declined; total reduction IDR "&amp;FIXED(Consolidation!D14,0)&amp;"m ("&amp;FIXED(Consolidation!E14*100,1)&amp;"% of requests)."</f>
        <v>Submissions: 6 item(s) capped pending justification, 1 declined; total reduction IDR 40.340m (5,9% of requests).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</row>
    <row r="36" spans="2:12" x14ac:dyDescent="0.25">
      <c r="B36" s="6" t="s">
        <v>8</v>
      </c>
    </row>
    <row r="37" spans="2:12" ht="24" customHeight="1" x14ac:dyDescent="0.25">
      <c r="B37" s="19" t="s">
        <v>9</v>
      </c>
      <c r="C37" s="19" t="s">
        <v>10</v>
      </c>
      <c r="D37" s="19" t="s">
        <v>11</v>
      </c>
      <c r="E37" s="19" t="s">
        <v>12</v>
      </c>
      <c r="F37" s="19" t="s">
        <v>13</v>
      </c>
      <c r="G37" s="19" t="s">
        <v>14</v>
      </c>
      <c r="H37" s="68" t="s">
        <v>15</v>
      </c>
      <c r="I37" s="69"/>
      <c r="J37" s="69"/>
      <c r="K37" s="69"/>
      <c r="L37" s="70"/>
    </row>
    <row r="38" spans="2:12" x14ac:dyDescent="0.25">
      <c r="B38" s="20" t="str">
        <f>Mgmt_Report!A9</f>
        <v>Programming</v>
      </c>
      <c r="C38" s="21">
        <f>Mgmt_Report!G9</f>
        <v>189537.19999999998</v>
      </c>
      <c r="D38" s="21">
        <f>Mgmt_Report!H9</f>
        <v>192621</v>
      </c>
      <c r="E38" s="21">
        <f>Mgmt_Report!I9</f>
        <v>-3083.8000000000175</v>
      </c>
      <c r="F38" s="22">
        <f>Mgmt_Report!J9</f>
        <v>-1.627015699292813E-2</v>
      </c>
      <c r="G38" s="15" t="str">
        <f>Mgmt_Report!N9</f>
        <v>WATCH</v>
      </c>
      <c r="H38" s="59" t="str">
        <f>IF(Mgmt_Report!O9="","",Mgmt_Report!O9)</f>
        <v>Extra episodes on Drama A; partly offset by Talk Show savings.</v>
      </c>
      <c r="I38" s="60"/>
      <c r="J38" s="60"/>
      <c r="K38" s="60"/>
      <c r="L38" s="60"/>
    </row>
    <row r="39" spans="2:12" x14ac:dyDescent="0.25">
      <c r="B39" s="20" t="str">
        <f>Mgmt_Report!A10</f>
        <v>News</v>
      </c>
      <c r="C39" s="21">
        <f>Mgmt_Report!G10</f>
        <v>59933</v>
      </c>
      <c r="D39" s="21">
        <f>Mgmt_Report!H10</f>
        <v>58969</v>
      </c>
      <c r="E39" s="21">
        <f>Mgmt_Report!I10</f>
        <v>964</v>
      </c>
      <c r="F39" s="22">
        <f>Mgmt_Report!J10</f>
        <v>1.6084627834415097E-2</v>
      </c>
      <c r="G39" s="15" t="str">
        <f>Mgmt_Report!N10</f>
        <v>ON TRACK</v>
      </c>
      <c r="H39" s="59" t="str">
        <f>IF(Mgmt_Report!O10="","",Mgmt_Report!O10)</f>
        <v/>
      </c>
      <c r="I39" s="60"/>
      <c r="J39" s="60"/>
      <c r="K39" s="60"/>
      <c r="L39" s="60"/>
    </row>
    <row r="40" spans="2:12" x14ac:dyDescent="0.25">
      <c r="B40" s="20" t="str">
        <f>Mgmt_Report!A11</f>
        <v>Production Support</v>
      </c>
      <c r="C40" s="21">
        <f>Mgmt_Report!G11</f>
        <v>40296</v>
      </c>
      <c r="D40" s="21">
        <f>Mgmt_Report!H11</f>
        <v>39208</v>
      </c>
      <c r="E40" s="21">
        <f>Mgmt_Report!I11</f>
        <v>1088</v>
      </c>
      <c r="F40" s="22">
        <f>Mgmt_Report!J11</f>
        <v>2.7000198530871551E-2</v>
      </c>
      <c r="G40" s="15" t="str">
        <f>Mgmt_Report!N11</f>
        <v>ON TRACK</v>
      </c>
      <c r="H40" s="59" t="str">
        <f>IF(Mgmt_Report!O11="","",Mgmt_Report!O11)</f>
        <v/>
      </c>
      <c r="I40" s="60"/>
      <c r="J40" s="60"/>
      <c r="K40" s="60"/>
      <c r="L40" s="60"/>
    </row>
    <row r="41" spans="2:12" x14ac:dyDescent="0.25">
      <c r="B41" s="20" t="str">
        <f>Mgmt_Report!A12</f>
        <v>Sales &amp; Marketing</v>
      </c>
      <c r="C41" s="21">
        <f>Mgmt_Report!G12</f>
        <v>33215</v>
      </c>
      <c r="D41" s="21">
        <f>Mgmt_Report!H12</f>
        <v>37032</v>
      </c>
      <c r="E41" s="21">
        <f>Mgmt_Report!I12</f>
        <v>-3817</v>
      </c>
      <c r="F41" s="22">
        <f>Mgmt_Report!J12</f>
        <v>-0.11491795875357519</v>
      </c>
      <c r="G41" s="15" t="str">
        <f>Mgmt_Report!N12</f>
        <v>OVER BUDGET</v>
      </c>
      <c r="H41" s="59" t="str">
        <f>IF(Mgmt_Report!O12="","",Mgmt_Report!O12)</f>
        <v>Season-launch promo front-loaded in Q3; Q4 commitments under review.</v>
      </c>
      <c r="I41" s="60"/>
      <c r="J41" s="60"/>
      <c r="K41" s="60"/>
      <c r="L41" s="60"/>
    </row>
    <row r="42" spans="2:12" x14ac:dyDescent="0.25">
      <c r="B42" s="20" t="str">
        <f>Mgmt_Report!A13</f>
        <v>Technology</v>
      </c>
      <c r="C42" s="21">
        <f>Mgmt_Report!G13</f>
        <v>55553</v>
      </c>
      <c r="D42" s="21">
        <f>Mgmt_Report!H13</f>
        <v>59808</v>
      </c>
      <c r="E42" s="21">
        <f>Mgmt_Report!I13</f>
        <v>-4255</v>
      </c>
      <c r="F42" s="22">
        <f>Mgmt_Report!J13</f>
        <v>-7.6593523302071892E-2</v>
      </c>
      <c r="G42" s="15" t="str">
        <f>Mgmt_Report!N13</f>
        <v>OVER BUDGET</v>
      </c>
      <c r="H42" s="59" t="str">
        <f>IF(Mgmt_Report!O13="","",Mgmt_Report!O13)</f>
        <v>Early cloud licence renewal and satellite maintenance true-up (timing).</v>
      </c>
      <c r="I42" s="60"/>
      <c r="J42" s="60"/>
      <c r="K42" s="60"/>
      <c r="L42" s="60"/>
    </row>
    <row r="43" spans="2:12" x14ac:dyDescent="0.25">
      <c r="B43" s="20" t="str">
        <f>Mgmt_Report!A14</f>
        <v>HR &amp; GA</v>
      </c>
      <c r="C43" s="21">
        <f>Mgmt_Report!G14</f>
        <v>73204.399999999994</v>
      </c>
      <c r="D43" s="21">
        <f>Mgmt_Report!H14</f>
        <v>70431</v>
      </c>
      <c r="E43" s="21">
        <f>Mgmt_Report!I14</f>
        <v>2773.3999999999942</v>
      </c>
      <c r="F43" s="22">
        <f>Mgmt_Report!J14</f>
        <v>3.7885700859511103E-2</v>
      </c>
      <c r="G43" s="15" t="str">
        <f>Mgmt_Report!N14</f>
        <v>ON TRACK</v>
      </c>
      <c r="H43" s="59" t="str">
        <f>IF(Mgmt_Report!O14="","",Mgmt_Report!O14)</f>
        <v/>
      </c>
      <c r="I43" s="60"/>
      <c r="J43" s="60"/>
      <c r="K43" s="60"/>
      <c r="L43" s="60"/>
    </row>
    <row r="44" spans="2:12" x14ac:dyDescent="0.25">
      <c r="B44" s="20" t="str">
        <f>Mgmt_Report!A15</f>
        <v>Finance</v>
      </c>
      <c r="C44" s="21">
        <f>Mgmt_Report!G15</f>
        <v>7665</v>
      </c>
      <c r="D44" s="21">
        <f>Mgmt_Report!H15</f>
        <v>7453</v>
      </c>
      <c r="E44" s="21">
        <f>Mgmt_Report!I15</f>
        <v>212</v>
      </c>
      <c r="F44" s="22">
        <f>Mgmt_Report!J15</f>
        <v>2.7658186562296152E-2</v>
      </c>
      <c r="G44" s="15" t="str">
        <f>Mgmt_Report!N15</f>
        <v>ON TRACK</v>
      </c>
      <c r="H44" s="59" t="str">
        <f>IF(Mgmt_Report!O15="","",Mgmt_Report!O15)</f>
        <v/>
      </c>
      <c r="I44" s="60"/>
      <c r="J44" s="60"/>
      <c r="K44" s="60"/>
      <c r="L44" s="60"/>
    </row>
    <row r="45" spans="2:12" x14ac:dyDescent="0.25">
      <c r="B45" s="20" t="str">
        <f>Mgmt_Report!A16</f>
        <v>Legal &amp; Corsec</v>
      </c>
      <c r="C45" s="21">
        <f>Mgmt_Report!G16</f>
        <v>7373</v>
      </c>
      <c r="D45" s="21">
        <f>Mgmt_Report!H16</f>
        <v>7153</v>
      </c>
      <c r="E45" s="21">
        <f>Mgmt_Report!I16</f>
        <v>220</v>
      </c>
      <c r="F45" s="22">
        <f>Mgmt_Report!J16</f>
        <v>2.9838600298386003E-2</v>
      </c>
      <c r="G45" s="15" t="str">
        <f>Mgmt_Report!N16</f>
        <v>ON TRACK</v>
      </c>
      <c r="H45" s="59" t="str">
        <f>IF(Mgmt_Report!O16="","",Mgmt_Report!O16)</f>
        <v/>
      </c>
      <c r="I45" s="60"/>
      <c r="J45" s="60"/>
      <c r="K45" s="60"/>
      <c r="L45" s="60"/>
    </row>
    <row r="46" spans="2:12" x14ac:dyDescent="0.25">
      <c r="B46" s="13" t="str">
        <f>Mgmt_Report!A17</f>
        <v>TOTAL OPEX</v>
      </c>
      <c r="C46" s="23">
        <f>Mgmt_Report!G17</f>
        <v>466776.6</v>
      </c>
      <c r="D46" s="23">
        <f>Mgmt_Report!H17</f>
        <v>472675</v>
      </c>
      <c r="E46" s="23">
        <f>Mgmt_Report!I17</f>
        <v>-5898.4000000000233</v>
      </c>
      <c r="F46" s="24">
        <f>Mgmt_Report!J17</f>
        <v>-1.263645178442969E-2</v>
      </c>
      <c r="G46" s="25" t="str">
        <f>Mgmt_Report!N17</f>
        <v>WATCH</v>
      </c>
      <c r="H46" s="63"/>
      <c r="I46" s="60"/>
      <c r="J46" s="60"/>
      <c r="K46" s="60"/>
      <c r="L46" s="60"/>
    </row>
    <row r="48" spans="2:12" x14ac:dyDescent="0.25">
      <c r="B48" s="27" t="s">
        <v>16</v>
      </c>
    </row>
  </sheetData>
  <mergeCells count="30">
    <mergeCell ref="D4:E4"/>
    <mergeCell ref="H37:L37"/>
    <mergeCell ref="B6:C6"/>
    <mergeCell ref="I4:J4"/>
    <mergeCell ref="B15:L15"/>
    <mergeCell ref="G7:I7"/>
    <mergeCell ref="G8:I8"/>
    <mergeCell ref="K4:L4"/>
    <mergeCell ref="D6:F6"/>
    <mergeCell ref="H46:L46"/>
    <mergeCell ref="B14:L14"/>
    <mergeCell ref="D8:F8"/>
    <mergeCell ref="B8:C8"/>
    <mergeCell ref="B13:L13"/>
    <mergeCell ref="H45:L45"/>
    <mergeCell ref="J8:L8"/>
    <mergeCell ref="H42:L42"/>
    <mergeCell ref="H44:L44"/>
    <mergeCell ref="H41:L41"/>
    <mergeCell ref="D7:F7"/>
    <mergeCell ref="H40:L40"/>
    <mergeCell ref="J7:L7"/>
    <mergeCell ref="B12:L12"/>
    <mergeCell ref="H39:L39"/>
    <mergeCell ref="B11:L11"/>
    <mergeCell ref="J6:L6"/>
    <mergeCell ref="B7:C7"/>
    <mergeCell ref="G6:I6"/>
    <mergeCell ref="H43:L43"/>
    <mergeCell ref="H38:L38"/>
  </mergeCells>
  <conditionalFormatting sqref="G38:G46">
    <cfRule type="expression" dxfId="21" priority="8">
      <formula>OR(ISNUMBER(SEARCH("OVER",G38)),ISNUMBER(SEARCH("BELOW",G38)),ISNUMBER(SEARCH("DECLINED",G38)),ISNUMBER(SEARCH("FAIL",G38)),ISNUMBER(SEARCH("REVIEW FAILED",G38)))</formula>
    </cfRule>
    <cfRule type="expression" dxfId="20" priority="9">
      <formula>OR(ISNUMBER(SEARCH("WATCH",G38)),ISNUMBER(SEARCH("REVIEW",G38)))</formula>
    </cfRule>
    <cfRule type="expression" dxfId="19" priority="10">
      <formula>OR(ISNUMBER(SEARCH("ON TRACK",G38)),ISNUMBER(SEARCH("OK",G38)),ISNUMBER(SEARCH("PASS",G38)))</formula>
    </cfRule>
  </conditionalFormatting>
  <conditionalFormatting sqref="K4:L4">
    <cfRule type="expression" dxfId="17" priority="1">
      <formula>OR(ISNUMBER(SEARCH("OVER",K4)),ISNUMBER(SEARCH("BELOW",K4)),ISNUMBER(SEARCH("DECLINED",K4)),ISNUMBER(SEARCH("FAIL",K4)),ISNUMBER(SEARCH("REVIEW FAILED",K4)))</formula>
    </cfRule>
    <cfRule type="expression" dxfId="16" priority="2">
      <formula>OR(ISNUMBER(SEARCH("WATCH",K4)),ISNUMBER(SEARCH("REVIEW",K4)))</formula>
    </cfRule>
    <cfRule type="expression" dxfId="15" priority="3">
      <formula>OR(ISNUMBER(SEARCH("ON TRACK",K4)),ISNUMBER(SEARCH("OK",K4)),ISNUMBER(SEARCH("PASS",K4)))</formula>
    </cfRule>
  </conditionalFormatting>
  <dataValidations count="1">
    <dataValidation type="whole" showErrorMessage="1" errorTitle="Month" error="Enter a month number 1-12" sqref="C4" xr:uid="{00000000-0002-0000-0100-000000000000}">
      <formula1>1</formula1>
      <formula2>12</formula2>
    </dataValidation>
  </dataValidations>
  <pageMargins left="0.75" right="0.75" top="1" bottom="1" header="0.5" footer="0.5"/>
  <pageSetup fitToHeight="0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100-000004000000}">
            <xm:f>Mgmt_Report!J21&lt;0</xm:f>
            <x14:dxf>
              <font>
                <b/>
                <color rgb="FF9C0006"/>
              </font>
            </x14:dxf>
          </x14:cfRule>
          <xm:sqref>B8</xm:sqref>
        </x14:conditionalFormatting>
        <x14:conditionalFormatting xmlns:xm="http://schemas.microsoft.com/office/excel/2006/main">
          <x14:cfRule type="expression" priority="5" id="{00000000-000E-0000-0100-000005000000}">
            <xm:f>Mgmt_Report!J17&lt;0</xm:f>
            <x14:dxf>
              <font>
                <b/>
                <color rgb="FF9C0006"/>
              </font>
            </x14:dxf>
          </x14:cfRule>
          <xm:sqref>D8</xm:sqref>
        </x14:conditionalFormatting>
        <x14:conditionalFormatting xmlns:xm="http://schemas.microsoft.com/office/excel/2006/main">
          <x14:cfRule type="expression" priority="6" id="{00000000-000E-0000-0100-000006000000}">
            <xm:f>Mgmt_Report!J23&lt;0</xm:f>
            <x14:dxf>
              <font>
                <b/>
                <color rgb="FF9C0006"/>
              </font>
            </x14:dxf>
          </x14:cfRule>
          <xm:sqref>G8</xm:sqref>
        </x14:conditionalFormatting>
        <x14:conditionalFormatting xmlns:xm="http://schemas.microsoft.com/office/excel/2006/main">
          <x14:cfRule type="expression" priority="7" id="{00000000-000E-0000-0100-000007000000}">
            <xm:f>Mgmt_Report!M23&lt;0</xm:f>
            <x14:dxf>
              <font>
                <b/>
                <color rgb="FF9C0006"/>
              </font>
            </x14:dxf>
          </x14:cfRule>
          <xm:sqref>J8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CA3AF"/>
    <pageSetUpPr fitToPage="1"/>
  </sheetPr>
  <dimension ref="A1:O33"/>
  <sheetViews>
    <sheetView showGridLines="0" workbookViewId="0"/>
  </sheetViews>
  <sheetFormatPr defaultRowHeight="15" x14ac:dyDescent="0.25"/>
  <cols>
    <col min="1" max="1" width="2" customWidth="1"/>
    <col min="2" max="2" width="38" customWidth="1"/>
    <col min="3" max="3" width="14" customWidth="1"/>
    <col min="4" max="4" width="30" customWidth="1"/>
    <col min="5" max="15" width="9" customWidth="1"/>
  </cols>
  <sheetData>
    <row r="1" spans="1:4" ht="20.25" x14ac:dyDescent="0.3">
      <c r="A1" s="28" t="s">
        <v>39</v>
      </c>
    </row>
    <row r="2" spans="1:4" x14ac:dyDescent="0.25">
      <c r="A2" s="29" t="s">
        <v>40</v>
      </c>
    </row>
    <row r="4" spans="1:4" x14ac:dyDescent="0.25">
      <c r="B4" s="13" t="s">
        <v>41</v>
      </c>
      <c r="C4" s="30">
        <v>2026</v>
      </c>
      <c r="D4" s="29"/>
    </row>
    <row r="5" spans="1:4" x14ac:dyDescent="0.25">
      <c r="B5" s="13" t="s">
        <v>42</v>
      </c>
      <c r="C5" s="30" t="s">
        <v>43</v>
      </c>
      <c r="D5" s="29"/>
    </row>
    <row r="6" spans="1:4" x14ac:dyDescent="0.25">
      <c r="B6" s="13" t="s">
        <v>44</v>
      </c>
      <c r="C6" s="31">
        <v>0.1</v>
      </c>
      <c r="D6" s="29" t="s">
        <v>45</v>
      </c>
    </row>
    <row r="7" spans="1:4" x14ac:dyDescent="0.25">
      <c r="B7" s="13" t="s">
        <v>46</v>
      </c>
      <c r="C7" s="31">
        <v>0.05</v>
      </c>
      <c r="D7" s="29" t="s">
        <v>47</v>
      </c>
    </row>
    <row r="8" spans="1:4" x14ac:dyDescent="0.25">
      <c r="B8" s="13" t="s">
        <v>48</v>
      </c>
      <c r="C8" s="32">
        <v>1000</v>
      </c>
      <c r="D8" s="29" t="s">
        <v>49</v>
      </c>
    </row>
    <row r="9" spans="1:4" x14ac:dyDescent="0.25">
      <c r="B9" s="13" t="s">
        <v>50</v>
      </c>
      <c r="C9" s="32">
        <v>800000</v>
      </c>
      <c r="D9" s="29" t="s">
        <v>51</v>
      </c>
    </row>
    <row r="10" spans="1:4" x14ac:dyDescent="0.25">
      <c r="B10" s="13" t="s">
        <v>52</v>
      </c>
      <c r="C10" s="33">
        <v>9</v>
      </c>
      <c r="D10" s="29" t="s">
        <v>53</v>
      </c>
    </row>
    <row r="13" spans="1:4" ht="21.95" customHeight="1" x14ac:dyDescent="0.25">
      <c r="B13" s="19" t="s">
        <v>9</v>
      </c>
      <c r="C13" s="34"/>
      <c r="D13" s="19" t="s">
        <v>54</v>
      </c>
    </row>
    <row r="14" spans="1:4" x14ac:dyDescent="0.25">
      <c r="B14" s="35" t="s">
        <v>55</v>
      </c>
      <c r="D14" s="35" t="s">
        <v>56</v>
      </c>
    </row>
    <row r="15" spans="1:4" x14ac:dyDescent="0.25">
      <c r="B15" s="35" t="s">
        <v>57</v>
      </c>
      <c r="D15" s="35" t="s">
        <v>58</v>
      </c>
    </row>
    <row r="16" spans="1:4" x14ac:dyDescent="0.25">
      <c r="B16" s="35" t="s">
        <v>59</v>
      </c>
      <c r="D16" s="35" t="s">
        <v>60</v>
      </c>
    </row>
    <row r="17" spans="2:15" x14ac:dyDescent="0.25">
      <c r="B17" s="35" t="s">
        <v>61</v>
      </c>
      <c r="D17" s="35" t="s">
        <v>62</v>
      </c>
    </row>
    <row r="18" spans="2:15" x14ac:dyDescent="0.25">
      <c r="B18" s="35" t="s">
        <v>63</v>
      </c>
      <c r="D18" s="35" t="s">
        <v>64</v>
      </c>
    </row>
    <row r="19" spans="2:15" x14ac:dyDescent="0.25">
      <c r="B19" s="35" t="s">
        <v>65</v>
      </c>
      <c r="D19" s="35" t="s">
        <v>66</v>
      </c>
    </row>
    <row r="20" spans="2:15" x14ac:dyDescent="0.25">
      <c r="B20" s="35" t="s">
        <v>67</v>
      </c>
      <c r="D20" s="35" t="s">
        <v>68</v>
      </c>
    </row>
    <row r="21" spans="2:15" x14ac:dyDescent="0.25">
      <c r="B21" s="35" t="s">
        <v>69</v>
      </c>
      <c r="D21" s="35" t="s">
        <v>70</v>
      </c>
    </row>
    <row r="22" spans="2:15" x14ac:dyDescent="0.25">
      <c r="D22" s="35" t="s">
        <v>71</v>
      </c>
    </row>
    <row r="23" spans="2:15" x14ac:dyDescent="0.25">
      <c r="D23" s="35" t="s">
        <v>72</v>
      </c>
    </row>
    <row r="24" spans="2:15" x14ac:dyDescent="0.25">
      <c r="D24" s="35" t="s">
        <v>73</v>
      </c>
    </row>
    <row r="25" spans="2:15" x14ac:dyDescent="0.25">
      <c r="D25" s="35" t="s">
        <v>74</v>
      </c>
    </row>
    <row r="28" spans="2:15" ht="20.100000000000001" customHeight="1" x14ac:dyDescent="0.25">
      <c r="B28" s="19" t="s">
        <v>75</v>
      </c>
      <c r="C28" s="19">
        <v>1</v>
      </c>
      <c r="D28" s="19">
        <v>2</v>
      </c>
      <c r="E28" s="19">
        <v>3</v>
      </c>
      <c r="F28" s="19">
        <v>4</v>
      </c>
      <c r="G28" s="19">
        <v>5</v>
      </c>
      <c r="H28" s="19">
        <v>6</v>
      </c>
      <c r="I28" s="19">
        <v>7</v>
      </c>
      <c r="J28" s="19">
        <v>8</v>
      </c>
      <c r="K28" s="19">
        <v>9</v>
      </c>
      <c r="L28" s="19">
        <v>10</v>
      </c>
      <c r="M28" s="19">
        <v>11</v>
      </c>
      <c r="N28" s="19">
        <v>12</v>
      </c>
      <c r="O28" s="19" t="s">
        <v>76</v>
      </c>
    </row>
    <row r="29" spans="2:15" x14ac:dyDescent="0.25">
      <c r="B29" s="13" t="s">
        <v>77</v>
      </c>
      <c r="C29" s="36" t="s">
        <v>78</v>
      </c>
      <c r="D29" s="36" t="s">
        <v>79</v>
      </c>
      <c r="E29" s="36" t="s">
        <v>80</v>
      </c>
      <c r="F29" s="36" t="s">
        <v>81</v>
      </c>
      <c r="G29" s="36" t="s">
        <v>82</v>
      </c>
      <c r="H29" s="36" t="s">
        <v>83</v>
      </c>
      <c r="I29" s="36" t="s">
        <v>84</v>
      </c>
      <c r="J29" s="36" t="s">
        <v>85</v>
      </c>
      <c r="K29" s="36" t="s">
        <v>86</v>
      </c>
      <c r="L29" s="36" t="s">
        <v>87</v>
      </c>
      <c r="M29" s="36" t="s">
        <v>88</v>
      </c>
      <c r="N29" s="36" t="s">
        <v>89</v>
      </c>
    </row>
    <row r="30" spans="2:15" x14ac:dyDescent="0.25">
      <c r="B30" s="13" t="s">
        <v>90</v>
      </c>
      <c r="C30" s="37">
        <v>7.0000000000000007E-2</v>
      </c>
      <c r="D30" s="37">
        <v>7.0000000000000007E-2</v>
      </c>
      <c r="E30" s="37">
        <v>0.08</v>
      </c>
      <c r="F30" s="37">
        <v>0.08</v>
      </c>
      <c r="G30" s="37">
        <v>0.08</v>
      </c>
      <c r="H30" s="37">
        <v>0.08</v>
      </c>
      <c r="I30" s="37">
        <v>0.09</v>
      </c>
      <c r="J30" s="37">
        <v>0.09</v>
      </c>
      <c r="K30" s="37">
        <v>0.09</v>
      </c>
      <c r="L30" s="37">
        <v>0.09</v>
      </c>
      <c r="M30" s="37">
        <v>0.09</v>
      </c>
      <c r="N30" s="37">
        <v>0.09</v>
      </c>
      <c r="O30" s="22">
        <f>SUM(C30:N30)</f>
        <v>0.99999999999999989</v>
      </c>
    </row>
    <row r="31" spans="2:15" x14ac:dyDescent="0.25">
      <c r="B31" s="13" t="s">
        <v>91</v>
      </c>
      <c r="C31" s="37">
        <v>7.0000000000000007E-2</v>
      </c>
      <c r="D31" s="37">
        <v>7.0000000000000007E-2</v>
      </c>
      <c r="E31" s="37">
        <v>0.08</v>
      </c>
      <c r="F31" s="37">
        <v>0.09</v>
      </c>
      <c r="G31" s="37">
        <v>0.08</v>
      </c>
      <c r="H31" s="37">
        <v>0.08</v>
      </c>
      <c r="I31" s="37">
        <v>0.08</v>
      </c>
      <c r="J31" s="37">
        <v>0.08</v>
      </c>
      <c r="K31" s="37">
        <v>0.09</v>
      </c>
      <c r="L31" s="37">
        <v>0.09</v>
      </c>
      <c r="M31" s="37">
        <v>0.09</v>
      </c>
      <c r="N31" s="37">
        <v>0.1</v>
      </c>
      <c r="O31" s="22">
        <f>SUM(C31:N31)</f>
        <v>0.99999999999999989</v>
      </c>
    </row>
    <row r="33" spans="2:2" x14ac:dyDescent="0.25">
      <c r="B33" s="29" t="s">
        <v>92</v>
      </c>
    </row>
  </sheetData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3A5F"/>
    <pageSetUpPr fitToPage="1"/>
  </sheetPr>
  <dimension ref="A1:O1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6" customWidth="1"/>
    <col min="2" max="5" width="11" customWidth="1"/>
    <col min="6" max="6" width="12" customWidth="1"/>
    <col min="7" max="7" width="14" customWidth="1"/>
    <col min="8" max="8" width="11" customWidth="1"/>
    <col min="9" max="9" width="10" customWidth="1"/>
    <col min="10" max="10" width="12" customWidth="1"/>
    <col min="11" max="13" width="13" customWidth="1"/>
    <col min="14" max="14" width="10" customWidth="1"/>
    <col min="15" max="15" width="30" customWidth="1"/>
  </cols>
  <sheetData>
    <row r="1" spans="1:15" ht="20.25" x14ac:dyDescent="0.3">
      <c r="A1" s="28" t="s">
        <v>93</v>
      </c>
    </row>
    <row r="2" spans="1:15" x14ac:dyDescent="0.25">
      <c r="A2" s="29" t="s">
        <v>94</v>
      </c>
    </row>
    <row r="5" spans="1:15" ht="39.950000000000003" customHeight="1" x14ac:dyDescent="0.25">
      <c r="A5" s="19" t="s">
        <v>95</v>
      </c>
      <c r="B5" s="19" t="s">
        <v>96</v>
      </c>
      <c r="C5" s="19" t="s">
        <v>97</v>
      </c>
      <c r="D5" s="19" t="s">
        <v>98</v>
      </c>
      <c r="E5" s="19" t="s">
        <v>99</v>
      </c>
      <c r="F5" s="19" t="s">
        <v>100</v>
      </c>
      <c r="G5" s="19" t="s">
        <v>101</v>
      </c>
      <c r="H5" s="19" t="s">
        <v>102</v>
      </c>
      <c r="I5" s="19" t="s">
        <v>103</v>
      </c>
      <c r="J5" s="19" t="s">
        <v>104</v>
      </c>
      <c r="K5" s="19" t="s">
        <v>105</v>
      </c>
      <c r="L5" s="19" t="s">
        <v>106</v>
      </c>
      <c r="M5" s="19" t="s">
        <v>107</v>
      </c>
      <c r="N5" s="19" t="s">
        <v>108</v>
      </c>
      <c r="O5" s="19" t="s">
        <v>109</v>
      </c>
    </row>
    <row r="6" spans="1:15" x14ac:dyDescent="0.25">
      <c r="A6" s="35" t="s">
        <v>110</v>
      </c>
      <c r="B6" s="35" t="s">
        <v>111</v>
      </c>
      <c r="C6" s="35" t="s">
        <v>112</v>
      </c>
      <c r="D6" s="38">
        <v>260</v>
      </c>
      <c r="E6" s="38">
        <v>320</v>
      </c>
      <c r="F6" s="21">
        <f t="shared" ref="F6:F11" si="0">D6*E6</f>
        <v>83200</v>
      </c>
      <c r="G6" s="38">
        <v>300</v>
      </c>
      <c r="H6" s="22">
        <f t="shared" ref="H6:H11" si="1">IFERROR(E6/G6-1,0)</f>
        <v>6.6666666666666652E-2</v>
      </c>
      <c r="I6" s="39">
        <v>6.5</v>
      </c>
      <c r="J6" s="40">
        <f t="shared" ref="J6:J11" si="2">IFERROR(E6/I6,0)</f>
        <v>49.230769230769234</v>
      </c>
      <c r="K6" s="38">
        <v>600</v>
      </c>
      <c r="L6" s="21">
        <f t="shared" ref="L6:L11" si="3">D6*K6</f>
        <v>156000</v>
      </c>
      <c r="M6" s="21">
        <f t="shared" ref="M6:M11" si="4">L6-F6</f>
        <v>72800</v>
      </c>
      <c r="N6" s="22">
        <f t="shared" ref="N6:N12" si="5">IFERROR(M6/L6,0)</f>
        <v>0.46666666666666667</v>
      </c>
      <c r="O6" s="20" t="str">
        <f>IF(ROUND(H6,6)&gt;Assumptions!$C$6,"REVIEW - cost above benchmark",IF(N6&lt;0,"REVIEW - negative margin",IF(J6&gt;1.25*$J$12,"REVIEW - high cost per TVR pt","OK")))</f>
        <v>OK</v>
      </c>
    </row>
    <row r="7" spans="1:15" x14ac:dyDescent="0.25">
      <c r="A7" s="35" t="s">
        <v>113</v>
      </c>
      <c r="B7" s="35" t="s">
        <v>114</v>
      </c>
      <c r="C7" s="35" t="s">
        <v>115</v>
      </c>
      <c r="D7" s="38">
        <v>52</v>
      </c>
      <c r="E7" s="38">
        <v>450</v>
      </c>
      <c r="F7" s="21">
        <f t="shared" si="0"/>
        <v>23400</v>
      </c>
      <c r="G7" s="38">
        <v>420</v>
      </c>
      <c r="H7" s="22">
        <f t="shared" si="1"/>
        <v>7.1428571428571397E-2</v>
      </c>
      <c r="I7" s="39">
        <v>4.8</v>
      </c>
      <c r="J7" s="40">
        <f t="shared" si="2"/>
        <v>93.75</v>
      </c>
      <c r="K7" s="38">
        <v>700</v>
      </c>
      <c r="L7" s="21">
        <f t="shared" si="3"/>
        <v>36400</v>
      </c>
      <c r="M7" s="21">
        <f t="shared" si="4"/>
        <v>13000</v>
      </c>
      <c r="N7" s="22">
        <f t="shared" si="5"/>
        <v>0.35714285714285715</v>
      </c>
      <c r="O7" s="20" t="str">
        <f>IF(ROUND(H7,6)&gt;Assumptions!$C$6,"REVIEW - cost above benchmark",IF(N7&lt;0,"REVIEW - negative margin",IF(J7&gt;1.25*$J$12,"REVIEW - high cost per TVR pt","OK")))</f>
        <v>REVIEW - high cost per TVR pt</v>
      </c>
    </row>
    <row r="8" spans="1:15" x14ac:dyDescent="0.25">
      <c r="A8" s="35" t="s">
        <v>116</v>
      </c>
      <c r="B8" s="35" t="s">
        <v>117</v>
      </c>
      <c r="C8" s="35" t="s">
        <v>118</v>
      </c>
      <c r="D8" s="38">
        <v>300</v>
      </c>
      <c r="E8" s="38">
        <v>95</v>
      </c>
      <c r="F8" s="21">
        <f t="shared" si="0"/>
        <v>28500</v>
      </c>
      <c r="G8" s="38">
        <v>100</v>
      </c>
      <c r="H8" s="22">
        <f t="shared" si="1"/>
        <v>-5.0000000000000044E-2</v>
      </c>
      <c r="I8" s="39">
        <v>1.9</v>
      </c>
      <c r="J8" s="40">
        <f t="shared" si="2"/>
        <v>50</v>
      </c>
      <c r="K8" s="38">
        <v>120</v>
      </c>
      <c r="L8" s="21">
        <f t="shared" si="3"/>
        <v>36000</v>
      </c>
      <c r="M8" s="21">
        <f t="shared" si="4"/>
        <v>7500</v>
      </c>
      <c r="N8" s="22">
        <f t="shared" si="5"/>
        <v>0.20833333333333334</v>
      </c>
      <c r="O8" s="20" t="str">
        <f>IF(ROUND(H8,6)&gt;Assumptions!$C$6,"REVIEW - cost above benchmark",IF(N8&lt;0,"REVIEW - negative margin",IF(J8&gt;1.25*$J$12,"REVIEW - high cost per TVR pt","OK")))</f>
        <v>OK</v>
      </c>
    </row>
    <row r="9" spans="1:15" x14ac:dyDescent="0.25">
      <c r="A9" s="35" t="s">
        <v>119</v>
      </c>
      <c r="B9" s="35" t="s">
        <v>120</v>
      </c>
      <c r="C9" s="35" t="s">
        <v>121</v>
      </c>
      <c r="D9" s="38">
        <v>104</v>
      </c>
      <c r="E9" s="38">
        <v>180</v>
      </c>
      <c r="F9" s="21">
        <f t="shared" si="0"/>
        <v>18720</v>
      </c>
      <c r="G9" s="38">
        <v>170</v>
      </c>
      <c r="H9" s="22">
        <f t="shared" si="1"/>
        <v>5.8823529411764719E-2</v>
      </c>
      <c r="I9" s="39">
        <v>3.2</v>
      </c>
      <c r="J9" s="40">
        <f t="shared" si="2"/>
        <v>56.25</v>
      </c>
      <c r="K9" s="38">
        <v>250</v>
      </c>
      <c r="L9" s="21">
        <f t="shared" si="3"/>
        <v>26000</v>
      </c>
      <c r="M9" s="21">
        <f t="shared" si="4"/>
        <v>7280</v>
      </c>
      <c r="N9" s="22">
        <f t="shared" si="5"/>
        <v>0.28000000000000003</v>
      </c>
      <c r="O9" s="20" t="str">
        <f>IF(ROUND(H9,6)&gt;Assumptions!$C$6,"REVIEW - cost above benchmark",IF(N9&lt;0,"REVIEW - negative margin",IF(J9&gt;1.25*$J$12,"REVIEW - high cost per TVR pt","OK")))</f>
        <v>OK</v>
      </c>
    </row>
    <row r="10" spans="1:15" x14ac:dyDescent="0.25">
      <c r="A10" s="35" t="s">
        <v>122</v>
      </c>
      <c r="B10" s="35" t="s">
        <v>123</v>
      </c>
      <c r="C10" s="35" t="s">
        <v>124</v>
      </c>
      <c r="D10" s="38">
        <v>156</v>
      </c>
      <c r="E10" s="38">
        <v>140</v>
      </c>
      <c r="F10" s="21">
        <f t="shared" si="0"/>
        <v>21840</v>
      </c>
      <c r="G10" s="38">
        <v>135</v>
      </c>
      <c r="H10" s="22">
        <f t="shared" si="1"/>
        <v>3.7037037037036979E-2</v>
      </c>
      <c r="I10" s="39">
        <v>2.8</v>
      </c>
      <c r="J10" s="40">
        <f t="shared" si="2"/>
        <v>50</v>
      </c>
      <c r="K10" s="38">
        <v>200</v>
      </c>
      <c r="L10" s="21">
        <f t="shared" si="3"/>
        <v>31200</v>
      </c>
      <c r="M10" s="21">
        <f t="shared" si="4"/>
        <v>9360</v>
      </c>
      <c r="N10" s="22">
        <f t="shared" si="5"/>
        <v>0.3</v>
      </c>
      <c r="O10" s="20" t="str">
        <f>IF(ROUND(H10,6)&gt;Assumptions!$C$6,"REVIEW - cost above benchmark",IF(N10&lt;0,"REVIEW - negative margin",IF(J10&gt;1.25*$J$12,"REVIEW - high cost per TVR pt","OK")))</f>
        <v>OK</v>
      </c>
    </row>
    <row r="11" spans="1:15" x14ac:dyDescent="0.25">
      <c r="A11" s="35" t="s">
        <v>125</v>
      </c>
      <c r="B11" s="35" t="s">
        <v>111</v>
      </c>
      <c r="C11" s="35" t="s">
        <v>126</v>
      </c>
      <c r="D11" s="38">
        <v>300</v>
      </c>
      <c r="E11" s="38">
        <v>280</v>
      </c>
      <c r="F11" s="21">
        <f t="shared" si="0"/>
        <v>84000</v>
      </c>
      <c r="G11" s="38">
        <v>300</v>
      </c>
      <c r="H11" s="22">
        <f t="shared" si="1"/>
        <v>-6.6666666666666652E-2</v>
      </c>
      <c r="I11" s="39">
        <v>5.4</v>
      </c>
      <c r="J11" s="40">
        <f t="shared" si="2"/>
        <v>51.851851851851848</v>
      </c>
      <c r="K11" s="38">
        <v>450</v>
      </c>
      <c r="L11" s="21">
        <f t="shared" si="3"/>
        <v>135000</v>
      </c>
      <c r="M11" s="21">
        <f t="shared" si="4"/>
        <v>51000</v>
      </c>
      <c r="N11" s="22">
        <f t="shared" si="5"/>
        <v>0.37777777777777777</v>
      </c>
      <c r="O11" s="20" t="str">
        <f>IF(ROUND(H11,6)&gt;Assumptions!$C$6,"REVIEW - cost above benchmark",IF(N11&lt;0,"REVIEW - negative margin",IF(J11&gt;1.25*$J$12,"REVIEW - high cost per TVR pt","OK")))</f>
        <v>OK</v>
      </c>
    </row>
    <row r="12" spans="1:15" x14ac:dyDescent="0.25">
      <c r="A12" s="13" t="s">
        <v>127</v>
      </c>
      <c r="B12" s="26"/>
      <c r="C12" s="26"/>
      <c r="D12" s="41">
        <f>SUM(D6:D11)</f>
        <v>1172</v>
      </c>
      <c r="E12" s="26"/>
      <c r="F12" s="23">
        <f>SUM(F6:F11)</f>
        <v>259660</v>
      </c>
      <c r="G12" s="26"/>
      <c r="H12" s="26"/>
      <c r="I12" s="26"/>
      <c r="J12" s="42">
        <f>IFERROR(F12/SUMPRODUCT(D6:D11,I6:I11),0)</f>
        <v>53.000489875898104</v>
      </c>
      <c r="K12" s="26"/>
      <c r="L12" s="23">
        <f>SUM(L6:L11)</f>
        <v>420600</v>
      </c>
      <c r="M12" s="23">
        <f>SUM(M6:M11)</f>
        <v>160940</v>
      </c>
      <c r="N12" s="24">
        <f t="shared" si="5"/>
        <v>0.38264384213029007</v>
      </c>
      <c r="O12" s="26"/>
    </row>
    <row r="14" spans="1:15" x14ac:dyDescent="0.25">
      <c r="A14" s="29" t="s">
        <v>128</v>
      </c>
    </row>
    <row r="15" spans="1:15" x14ac:dyDescent="0.25">
      <c r="A15" s="29" t="s">
        <v>129</v>
      </c>
    </row>
    <row r="16" spans="1:15" x14ac:dyDescent="0.25">
      <c r="A16" s="29" t="s">
        <v>130</v>
      </c>
    </row>
  </sheetData>
  <conditionalFormatting sqref="O6:O11">
    <cfRule type="expression" dxfId="14" priority="1">
      <formula>OR(ISNUMBER(SEARCH("OVER",O6)),ISNUMBER(SEARCH("BELOW",O6)),ISNUMBER(SEARCH("DECLINED",O6)),ISNUMBER(SEARCH("FAIL",O6)),ISNUMBER(SEARCH("REVIEW FAILED",O6)))</formula>
    </cfRule>
    <cfRule type="expression" dxfId="13" priority="2">
      <formula>OR(ISNUMBER(SEARCH("WATCH",O6)),ISNUMBER(SEARCH("REVIEW",O6)))</formula>
    </cfRule>
    <cfRule type="expression" dxfId="12" priority="3">
      <formula>OR(ISNUMBER(SEARCH("ON TRACK",O6)),ISNUMBER(SEARCH("OK",O6)),ISNUMBER(SEARCH("PASS",O6)))</formula>
    </cfRule>
  </conditionalFormatting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3A5F"/>
    <pageSetUpPr fitToPage="1"/>
  </sheetPr>
  <dimension ref="A1:N31"/>
  <sheetViews>
    <sheetView showGridLines="0"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" customWidth="1"/>
    <col min="2" max="2" width="19" customWidth="1"/>
    <col min="3" max="3" width="21" customWidth="1"/>
    <col min="4" max="4" width="38" customWidth="1"/>
    <col min="5" max="6" width="11" customWidth="1"/>
    <col min="7" max="7" width="12" customWidth="1"/>
    <col min="8" max="8" width="13" customWidth="1"/>
    <col min="9" max="9" width="11" customWidth="1"/>
    <col min="10" max="10" width="12" customWidth="1"/>
    <col min="11" max="11" width="24" customWidth="1"/>
    <col min="12" max="12" width="14" customWidth="1"/>
    <col min="13" max="13" width="12" customWidth="1"/>
    <col min="14" max="14" width="46" customWidth="1"/>
  </cols>
  <sheetData>
    <row r="1" spans="1:14" ht="20.25" x14ac:dyDescent="0.3">
      <c r="A1" s="28" t="s">
        <v>131</v>
      </c>
    </row>
    <row r="2" spans="1:14" x14ac:dyDescent="0.25">
      <c r="A2" s="29" t="s">
        <v>132</v>
      </c>
    </row>
    <row r="4" spans="1:14" x14ac:dyDescent="0.25">
      <c r="A4" s="13" t="s">
        <v>133</v>
      </c>
      <c r="B4" s="26"/>
      <c r="C4" s="26"/>
      <c r="D4" s="26"/>
      <c r="E4" s="26"/>
      <c r="F4" s="26"/>
      <c r="G4" s="23">
        <f>SUM(G7:G80)</f>
        <v>679760</v>
      </c>
      <c r="H4" s="23">
        <f>SUM(H7:H80)</f>
        <v>635300</v>
      </c>
      <c r="I4" s="24">
        <f>IFERROR(G4/H4-1,0)</f>
        <v>6.9982685345506113E-2</v>
      </c>
      <c r="J4" s="26"/>
      <c r="K4" s="26"/>
      <c r="L4" s="23">
        <f>SUM(L7:L80)</f>
        <v>639420</v>
      </c>
      <c r="M4" s="23">
        <f>SUM(M7:M80)</f>
        <v>40339.999999999985</v>
      </c>
      <c r="N4" s="26"/>
    </row>
    <row r="5" spans="1:14" x14ac:dyDescent="0.25">
      <c r="A5" s="29" t="s">
        <v>134</v>
      </c>
    </row>
    <row r="6" spans="1:14" ht="39.950000000000003" customHeight="1" x14ac:dyDescent="0.25">
      <c r="A6" s="19" t="s">
        <v>135</v>
      </c>
      <c r="B6" s="19" t="s">
        <v>9</v>
      </c>
      <c r="C6" s="19" t="s">
        <v>54</v>
      </c>
      <c r="D6" s="19" t="s">
        <v>136</v>
      </c>
      <c r="E6" s="19" t="s">
        <v>137</v>
      </c>
      <c r="F6" s="19" t="s">
        <v>138</v>
      </c>
      <c r="G6" s="19" t="s">
        <v>139</v>
      </c>
      <c r="H6" s="19" t="s">
        <v>140</v>
      </c>
      <c r="I6" s="19" t="s">
        <v>141</v>
      </c>
      <c r="J6" s="19" t="s">
        <v>142</v>
      </c>
      <c r="K6" s="19" t="s">
        <v>143</v>
      </c>
      <c r="L6" s="19" t="s">
        <v>144</v>
      </c>
      <c r="M6" s="19" t="s">
        <v>145</v>
      </c>
      <c r="N6" s="19" t="s">
        <v>146</v>
      </c>
    </row>
    <row r="7" spans="1:14" x14ac:dyDescent="0.25">
      <c r="A7" s="35" t="s">
        <v>147</v>
      </c>
      <c r="B7" s="35" t="s">
        <v>55</v>
      </c>
      <c r="C7" s="35" t="s">
        <v>56</v>
      </c>
      <c r="D7" s="35" t="s">
        <v>110</v>
      </c>
      <c r="E7" s="43">
        <f>Program_Budget!D6</f>
        <v>260</v>
      </c>
      <c r="F7" s="43">
        <f>Program_Budget!E6</f>
        <v>320</v>
      </c>
      <c r="G7" s="21">
        <f t="shared" ref="G7:G31" si="0">E7*F7</f>
        <v>83200</v>
      </c>
      <c r="H7" s="38">
        <v>80000</v>
      </c>
      <c r="I7" s="22">
        <f t="shared" ref="I7:I31" si="1">IFERROR(G7/H7-1,0)</f>
        <v>4.0000000000000036E-2</v>
      </c>
      <c r="J7" s="36" t="s">
        <v>148</v>
      </c>
      <c r="K7" s="20" t="str">
        <f>IF(J7="N","DECLINED - docs missing",IF(ROUND(I7,6)&gt;Assumptions!$C$6,"REVIEW - above YoY cap","OK"))</f>
        <v>OK</v>
      </c>
      <c r="L7" s="21">
        <f>IF(J7="N",0,IF(ROUND(I7,6)&gt;Assumptions!$C$6,H7*(1+Assumptions!$C$6),G7))</f>
        <v>83200</v>
      </c>
      <c r="M7" s="21">
        <f t="shared" ref="M7:M31" si="2">G7-L7</f>
        <v>0</v>
      </c>
      <c r="N7" s="35" t="s">
        <v>149</v>
      </c>
    </row>
    <row r="8" spans="1:14" x14ac:dyDescent="0.25">
      <c r="A8" s="35" t="s">
        <v>150</v>
      </c>
      <c r="B8" s="35" t="s">
        <v>55</v>
      </c>
      <c r="C8" s="35" t="s">
        <v>56</v>
      </c>
      <c r="D8" s="35" t="s">
        <v>113</v>
      </c>
      <c r="E8" s="43">
        <f>Program_Budget!D7</f>
        <v>52</v>
      </c>
      <c r="F8" s="43">
        <f>Program_Budget!E7</f>
        <v>450</v>
      </c>
      <c r="G8" s="21">
        <f t="shared" si="0"/>
        <v>23400</v>
      </c>
      <c r="H8" s="38">
        <v>22000</v>
      </c>
      <c r="I8" s="22">
        <f t="shared" si="1"/>
        <v>6.3636363636363713E-2</v>
      </c>
      <c r="J8" s="36" t="s">
        <v>148</v>
      </c>
      <c r="K8" s="20" t="str">
        <f>IF(J8="N","DECLINED - docs missing",IF(ROUND(I8,6)&gt;Assumptions!$C$6,"REVIEW - above YoY cap","OK"))</f>
        <v>OK</v>
      </c>
      <c r="L8" s="21">
        <f>IF(J8="N",0,IF(ROUND(I8,6)&gt;Assumptions!$C$6,H8*(1+Assumptions!$C$6),G8))</f>
        <v>23400</v>
      </c>
      <c r="M8" s="21">
        <f t="shared" si="2"/>
        <v>0</v>
      </c>
      <c r="N8" s="35"/>
    </row>
    <row r="9" spans="1:14" x14ac:dyDescent="0.25">
      <c r="A9" s="35" t="s">
        <v>151</v>
      </c>
      <c r="B9" s="35" t="s">
        <v>55</v>
      </c>
      <c r="C9" s="35" t="s">
        <v>56</v>
      </c>
      <c r="D9" s="35" t="s">
        <v>116</v>
      </c>
      <c r="E9" s="43">
        <f>Program_Budget!D8</f>
        <v>300</v>
      </c>
      <c r="F9" s="43">
        <f>Program_Budget!E8</f>
        <v>95</v>
      </c>
      <c r="G9" s="21">
        <f t="shared" si="0"/>
        <v>28500</v>
      </c>
      <c r="H9" s="38">
        <v>29000</v>
      </c>
      <c r="I9" s="22">
        <f t="shared" si="1"/>
        <v>-1.7241379310344862E-2</v>
      </c>
      <c r="J9" s="36" t="s">
        <v>148</v>
      </c>
      <c r="K9" s="20" t="str">
        <f>IF(J9="N","DECLINED - docs missing",IF(ROUND(I9,6)&gt;Assumptions!$C$6,"REVIEW - above YoY cap","OK"))</f>
        <v>OK</v>
      </c>
      <c r="L9" s="21">
        <f>IF(J9="N",0,IF(ROUND(I9,6)&gt;Assumptions!$C$6,H9*(1+Assumptions!$C$6),G9))</f>
        <v>28500</v>
      </c>
      <c r="M9" s="21">
        <f t="shared" si="2"/>
        <v>0</v>
      </c>
      <c r="N9" s="35"/>
    </row>
    <row r="10" spans="1:14" x14ac:dyDescent="0.25">
      <c r="A10" s="35" t="s">
        <v>152</v>
      </c>
      <c r="B10" s="35" t="s">
        <v>55</v>
      </c>
      <c r="C10" s="35" t="s">
        <v>58</v>
      </c>
      <c r="D10" s="35" t="s">
        <v>119</v>
      </c>
      <c r="E10" s="43">
        <f>Program_Budget!D9</f>
        <v>104</v>
      </c>
      <c r="F10" s="43">
        <f>Program_Budget!E9</f>
        <v>180</v>
      </c>
      <c r="G10" s="21">
        <f t="shared" si="0"/>
        <v>18720</v>
      </c>
      <c r="H10" s="38">
        <v>17000</v>
      </c>
      <c r="I10" s="22">
        <f t="shared" si="1"/>
        <v>0.1011764705882352</v>
      </c>
      <c r="J10" s="36" t="s">
        <v>148</v>
      </c>
      <c r="K10" s="20" t="str">
        <f>IF(J10="N","DECLINED - docs missing",IF(ROUND(I10,6)&gt;Assumptions!$C$6,"REVIEW - above YoY cap","OK"))</f>
        <v>REVIEW - above YoY cap</v>
      </c>
      <c r="L10" s="21">
        <f>IF(J10="N",0,IF(ROUND(I10,6)&gt;Assumptions!$C$6,H10*(1+Assumptions!$C$6),G10))</f>
        <v>18700</v>
      </c>
      <c r="M10" s="21">
        <f t="shared" si="2"/>
        <v>20</v>
      </c>
      <c r="N10" s="35"/>
    </row>
    <row r="11" spans="1:14" x14ac:dyDescent="0.25">
      <c r="A11" s="35" t="s">
        <v>153</v>
      </c>
      <c r="B11" s="35" t="s">
        <v>55</v>
      </c>
      <c r="C11" s="35" t="s">
        <v>56</v>
      </c>
      <c r="D11" s="35" t="s">
        <v>122</v>
      </c>
      <c r="E11" s="43">
        <f>Program_Budget!D10</f>
        <v>156</v>
      </c>
      <c r="F11" s="43">
        <f>Program_Budget!E10</f>
        <v>140</v>
      </c>
      <c r="G11" s="21">
        <f t="shared" si="0"/>
        <v>21840</v>
      </c>
      <c r="H11" s="38">
        <v>20000</v>
      </c>
      <c r="I11" s="22">
        <f t="shared" si="1"/>
        <v>9.2000000000000082E-2</v>
      </c>
      <c r="J11" s="36" t="s">
        <v>148</v>
      </c>
      <c r="K11" s="20" t="str">
        <f>IF(J11="N","DECLINED - docs missing",IF(ROUND(I11,6)&gt;Assumptions!$C$6,"REVIEW - above YoY cap","OK"))</f>
        <v>OK</v>
      </c>
      <c r="L11" s="21">
        <f>IF(J11="N",0,IF(ROUND(I11,6)&gt;Assumptions!$C$6,H11*(1+Assumptions!$C$6),G11))</f>
        <v>21840</v>
      </c>
      <c r="M11" s="21">
        <f t="shared" si="2"/>
        <v>0</v>
      </c>
      <c r="N11" s="35"/>
    </row>
    <row r="12" spans="1:14" x14ac:dyDescent="0.25">
      <c r="A12" s="35" t="s">
        <v>154</v>
      </c>
      <c r="B12" s="35" t="s">
        <v>55</v>
      </c>
      <c r="C12" s="35" t="s">
        <v>56</v>
      </c>
      <c r="D12" s="35" t="s">
        <v>125</v>
      </c>
      <c r="E12" s="43">
        <f>Program_Budget!D11</f>
        <v>300</v>
      </c>
      <c r="F12" s="43">
        <f>Program_Budget!E11</f>
        <v>280</v>
      </c>
      <c r="G12" s="21">
        <f t="shared" si="0"/>
        <v>84000</v>
      </c>
      <c r="H12" s="38">
        <v>85000</v>
      </c>
      <c r="I12" s="22">
        <f t="shared" si="1"/>
        <v>-1.1764705882352899E-2</v>
      </c>
      <c r="J12" s="36" t="s">
        <v>148</v>
      </c>
      <c r="K12" s="20" t="str">
        <f>IF(J12="N","DECLINED - docs missing",IF(ROUND(I12,6)&gt;Assumptions!$C$6,"REVIEW - above YoY cap","OK"))</f>
        <v>OK</v>
      </c>
      <c r="L12" s="21">
        <f>IF(J12="N",0,IF(ROUND(I12,6)&gt;Assumptions!$C$6,H12*(1+Assumptions!$C$6),G12))</f>
        <v>84000</v>
      </c>
      <c r="M12" s="21">
        <f t="shared" si="2"/>
        <v>0</v>
      </c>
      <c r="N12" s="35"/>
    </row>
    <row r="13" spans="1:14" x14ac:dyDescent="0.25">
      <c r="A13" s="35" t="s">
        <v>155</v>
      </c>
      <c r="B13" s="35" t="s">
        <v>57</v>
      </c>
      <c r="C13" s="35" t="s">
        <v>60</v>
      </c>
      <c r="D13" s="35" t="s">
        <v>156</v>
      </c>
      <c r="E13" s="38">
        <v>12</v>
      </c>
      <c r="F13" s="38">
        <v>4500</v>
      </c>
      <c r="G13" s="21">
        <f t="shared" si="0"/>
        <v>54000</v>
      </c>
      <c r="H13" s="38">
        <v>50000</v>
      </c>
      <c r="I13" s="22">
        <f t="shared" si="1"/>
        <v>8.0000000000000071E-2</v>
      </c>
      <c r="J13" s="36" t="s">
        <v>148</v>
      </c>
      <c r="K13" s="20" t="str">
        <f>IF(J13="N","DECLINED - docs missing",IF(ROUND(I13,6)&gt;Assumptions!$C$6,"REVIEW - above YoY cap","OK"))</f>
        <v>OK</v>
      </c>
      <c r="L13" s="21">
        <f>IF(J13="N",0,IF(ROUND(I13,6)&gt;Assumptions!$C$6,H13*(1+Assumptions!$C$6),G13))</f>
        <v>54000</v>
      </c>
      <c r="M13" s="21">
        <f t="shared" si="2"/>
        <v>0</v>
      </c>
      <c r="N13" s="35"/>
    </row>
    <row r="14" spans="1:14" x14ac:dyDescent="0.25">
      <c r="A14" s="35" t="s">
        <v>157</v>
      </c>
      <c r="B14" s="35" t="s">
        <v>57</v>
      </c>
      <c r="C14" s="35" t="s">
        <v>62</v>
      </c>
      <c r="D14" s="35" t="s">
        <v>158</v>
      </c>
      <c r="E14" s="38">
        <v>12</v>
      </c>
      <c r="F14" s="38">
        <v>1800</v>
      </c>
      <c r="G14" s="21">
        <f t="shared" si="0"/>
        <v>21600</v>
      </c>
      <c r="H14" s="38">
        <v>20000</v>
      </c>
      <c r="I14" s="22">
        <f t="shared" si="1"/>
        <v>8.0000000000000071E-2</v>
      </c>
      <c r="J14" s="36" t="s">
        <v>148</v>
      </c>
      <c r="K14" s="20" t="str">
        <f>IF(J14="N","DECLINED - docs missing",IF(ROUND(I14,6)&gt;Assumptions!$C$6,"REVIEW - above YoY cap","OK"))</f>
        <v>OK</v>
      </c>
      <c r="L14" s="21">
        <f>IF(J14="N",0,IF(ROUND(I14,6)&gt;Assumptions!$C$6,H14*(1+Assumptions!$C$6),G14))</f>
        <v>21600</v>
      </c>
      <c r="M14" s="21">
        <f t="shared" si="2"/>
        <v>0</v>
      </c>
      <c r="N14" s="35"/>
    </row>
    <row r="15" spans="1:14" x14ac:dyDescent="0.25">
      <c r="A15" s="35" t="s">
        <v>159</v>
      </c>
      <c r="B15" s="35" t="s">
        <v>57</v>
      </c>
      <c r="C15" s="35" t="s">
        <v>66</v>
      </c>
      <c r="D15" s="35" t="s">
        <v>160</v>
      </c>
      <c r="E15" s="38">
        <v>1</v>
      </c>
      <c r="F15" s="38">
        <v>6500</v>
      </c>
      <c r="G15" s="21">
        <f t="shared" si="0"/>
        <v>6500</v>
      </c>
      <c r="H15" s="38">
        <v>6000</v>
      </c>
      <c r="I15" s="22">
        <f t="shared" si="1"/>
        <v>8.3333333333333259E-2</v>
      </c>
      <c r="J15" s="36" t="s">
        <v>148</v>
      </c>
      <c r="K15" s="20" t="str">
        <f>IF(J15="N","DECLINED - docs missing",IF(ROUND(I15,6)&gt;Assumptions!$C$6,"REVIEW - above YoY cap","OK"))</f>
        <v>OK</v>
      </c>
      <c r="L15" s="21">
        <f>IF(J15="N",0,IF(ROUND(I15,6)&gt;Assumptions!$C$6,H15*(1+Assumptions!$C$6),G15))</f>
        <v>6500</v>
      </c>
      <c r="M15" s="21">
        <f t="shared" si="2"/>
        <v>0</v>
      </c>
      <c r="N15" s="35"/>
    </row>
    <row r="16" spans="1:14" x14ac:dyDescent="0.25">
      <c r="A16" s="35" t="s">
        <v>161</v>
      </c>
      <c r="B16" s="35" t="s">
        <v>59</v>
      </c>
      <c r="C16" s="35" t="s">
        <v>64</v>
      </c>
      <c r="D16" s="35" t="s">
        <v>162</v>
      </c>
      <c r="E16" s="38">
        <v>12</v>
      </c>
      <c r="F16" s="38">
        <v>2800</v>
      </c>
      <c r="G16" s="21">
        <f t="shared" si="0"/>
        <v>33600</v>
      </c>
      <c r="H16" s="38">
        <v>31000</v>
      </c>
      <c r="I16" s="22">
        <f t="shared" si="1"/>
        <v>8.3870967741935587E-2</v>
      </c>
      <c r="J16" s="36" t="s">
        <v>148</v>
      </c>
      <c r="K16" s="20" t="str">
        <f>IF(J16="N","DECLINED - docs missing",IF(ROUND(I16,6)&gt;Assumptions!$C$6,"REVIEW - above YoY cap","OK"))</f>
        <v>OK</v>
      </c>
      <c r="L16" s="21">
        <f>IF(J16="N",0,IF(ROUND(I16,6)&gt;Assumptions!$C$6,H16*(1+Assumptions!$C$6),G16))</f>
        <v>33600</v>
      </c>
      <c r="M16" s="21">
        <f t="shared" si="2"/>
        <v>0</v>
      </c>
      <c r="N16" s="35"/>
    </row>
    <row r="17" spans="1:14" x14ac:dyDescent="0.25">
      <c r="A17" s="35" t="s">
        <v>163</v>
      </c>
      <c r="B17" s="35" t="s">
        <v>59</v>
      </c>
      <c r="C17" s="35" t="s">
        <v>62</v>
      </c>
      <c r="D17" s="35" t="s">
        <v>164</v>
      </c>
      <c r="E17" s="38">
        <v>1</v>
      </c>
      <c r="F17" s="38">
        <v>18000</v>
      </c>
      <c r="G17" s="21">
        <f t="shared" si="0"/>
        <v>18000</v>
      </c>
      <c r="H17" s="38">
        <v>12000</v>
      </c>
      <c r="I17" s="22">
        <f t="shared" si="1"/>
        <v>0.5</v>
      </c>
      <c r="J17" s="36" t="s">
        <v>148</v>
      </c>
      <c r="K17" s="20" t="str">
        <f>IF(J17="N","DECLINED - docs missing",IF(ROUND(I17,6)&gt;Assumptions!$C$6,"REVIEW - above YoY cap","OK"))</f>
        <v>REVIEW - above YoY cap</v>
      </c>
      <c r="L17" s="21">
        <f>IF(J17="N",0,IF(ROUND(I17,6)&gt;Assumptions!$C$6,H17*(1+Assumptions!$C$6),G17))</f>
        <v>13200.000000000002</v>
      </c>
      <c r="M17" s="21">
        <f t="shared" si="2"/>
        <v>4799.9999999999982</v>
      </c>
      <c r="N17" s="35" t="s">
        <v>165</v>
      </c>
    </row>
    <row r="18" spans="1:14" x14ac:dyDescent="0.25">
      <c r="A18" s="35" t="s">
        <v>166</v>
      </c>
      <c r="B18" s="35" t="s">
        <v>59</v>
      </c>
      <c r="C18" s="35" t="s">
        <v>71</v>
      </c>
      <c r="D18" s="35" t="s">
        <v>167</v>
      </c>
      <c r="E18" s="38">
        <v>12</v>
      </c>
      <c r="F18" s="38">
        <v>700</v>
      </c>
      <c r="G18" s="21">
        <f t="shared" si="0"/>
        <v>8400</v>
      </c>
      <c r="H18" s="38">
        <v>8000</v>
      </c>
      <c r="I18" s="22">
        <f t="shared" si="1"/>
        <v>5.0000000000000044E-2</v>
      </c>
      <c r="J18" s="36" t="s">
        <v>148</v>
      </c>
      <c r="K18" s="20" t="str">
        <f>IF(J18="N","DECLINED - docs missing",IF(ROUND(I18,6)&gt;Assumptions!$C$6,"REVIEW - above YoY cap","OK"))</f>
        <v>OK</v>
      </c>
      <c r="L18" s="21">
        <f>IF(J18="N",0,IF(ROUND(I18,6)&gt;Assumptions!$C$6,H18*(1+Assumptions!$C$6),G18))</f>
        <v>8400</v>
      </c>
      <c r="M18" s="21">
        <f t="shared" si="2"/>
        <v>0</v>
      </c>
      <c r="N18" s="35"/>
    </row>
    <row r="19" spans="1:14" x14ac:dyDescent="0.25">
      <c r="A19" s="35" t="s">
        <v>168</v>
      </c>
      <c r="B19" s="35" t="s">
        <v>61</v>
      </c>
      <c r="C19" s="35" t="s">
        <v>68</v>
      </c>
      <c r="D19" s="35" t="s">
        <v>169</v>
      </c>
      <c r="E19" s="38">
        <v>1</v>
      </c>
      <c r="F19" s="38">
        <v>28000</v>
      </c>
      <c r="G19" s="21">
        <f t="shared" si="0"/>
        <v>28000</v>
      </c>
      <c r="H19" s="38">
        <v>25000</v>
      </c>
      <c r="I19" s="22">
        <f t="shared" si="1"/>
        <v>0.12000000000000011</v>
      </c>
      <c r="J19" s="36" t="s">
        <v>148</v>
      </c>
      <c r="K19" s="20" t="str">
        <f>IF(J19="N","DECLINED - docs missing",IF(ROUND(I19,6)&gt;Assumptions!$C$6,"REVIEW - above YoY cap","OK"))</f>
        <v>REVIEW - above YoY cap</v>
      </c>
      <c r="L19" s="21">
        <f>IF(J19="N",0,IF(ROUND(I19,6)&gt;Assumptions!$C$6,H19*(1+Assumptions!$C$6),G19))</f>
        <v>27500.000000000004</v>
      </c>
      <c r="M19" s="21">
        <f t="shared" si="2"/>
        <v>499.99999999999636</v>
      </c>
      <c r="N19" s="35" t="s">
        <v>170</v>
      </c>
    </row>
    <row r="20" spans="1:14" x14ac:dyDescent="0.25">
      <c r="A20" s="35" t="s">
        <v>171</v>
      </c>
      <c r="B20" s="35" t="s">
        <v>61</v>
      </c>
      <c r="C20" s="35" t="s">
        <v>66</v>
      </c>
      <c r="D20" s="35" t="s">
        <v>172</v>
      </c>
      <c r="E20" s="38">
        <v>12</v>
      </c>
      <c r="F20" s="38">
        <v>1500</v>
      </c>
      <c r="G20" s="21">
        <f t="shared" si="0"/>
        <v>18000</v>
      </c>
      <c r="H20" s="38">
        <v>17000</v>
      </c>
      <c r="I20" s="22">
        <f t="shared" si="1"/>
        <v>5.8823529411764719E-2</v>
      </c>
      <c r="J20" s="36" t="s">
        <v>148</v>
      </c>
      <c r="K20" s="20" t="str">
        <f>IF(J20="N","DECLINED - docs missing",IF(ROUND(I20,6)&gt;Assumptions!$C$6,"REVIEW - above YoY cap","OK"))</f>
        <v>OK</v>
      </c>
      <c r="L20" s="21">
        <f>IF(J20="N",0,IF(ROUND(I20,6)&gt;Assumptions!$C$6,H20*(1+Assumptions!$C$6),G20))</f>
        <v>18000</v>
      </c>
      <c r="M20" s="21">
        <f t="shared" si="2"/>
        <v>0</v>
      </c>
      <c r="N20" s="35"/>
    </row>
    <row r="21" spans="1:14" x14ac:dyDescent="0.25">
      <c r="A21" s="35" t="s">
        <v>173</v>
      </c>
      <c r="B21" s="35" t="s">
        <v>61</v>
      </c>
      <c r="C21" s="35" t="s">
        <v>70</v>
      </c>
      <c r="D21" s="35" t="s">
        <v>174</v>
      </c>
      <c r="E21" s="38">
        <v>1</v>
      </c>
      <c r="F21" s="38">
        <v>30000</v>
      </c>
      <c r="G21" s="21">
        <f t="shared" si="0"/>
        <v>30000</v>
      </c>
      <c r="H21" s="38">
        <v>27500</v>
      </c>
      <c r="I21" s="22">
        <f t="shared" si="1"/>
        <v>9.0909090909090828E-2</v>
      </c>
      <c r="J21" s="36" t="s">
        <v>175</v>
      </c>
      <c r="K21" s="20" t="str">
        <f>IF(J21="N","DECLINED - docs missing",IF(ROUND(I21,6)&gt;Assumptions!$C$6,"REVIEW - above YoY cap","OK"))</f>
        <v>DECLINED - docs missing</v>
      </c>
      <c r="L21" s="21">
        <f>IF(J21="N",0,IF(ROUND(I21,6)&gt;Assumptions!$C$6,H21*(1+Assumptions!$C$6),G21))</f>
        <v>0</v>
      </c>
      <c r="M21" s="21">
        <f t="shared" si="2"/>
        <v>30000</v>
      </c>
      <c r="N21" s="35" t="s">
        <v>176</v>
      </c>
    </row>
    <row r="22" spans="1:14" x14ac:dyDescent="0.25">
      <c r="A22" s="35" t="s">
        <v>177</v>
      </c>
      <c r="B22" s="35" t="s">
        <v>63</v>
      </c>
      <c r="C22" s="35" t="s">
        <v>64</v>
      </c>
      <c r="D22" s="35" t="s">
        <v>178</v>
      </c>
      <c r="E22" s="38">
        <v>12</v>
      </c>
      <c r="F22" s="38">
        <v>3500</v>
      </c>
      <c r="G22" s="21">
        <f t="shared" si="0"/>
        <v>42000</v>
      </c>
      <c r="H22" s="38">
        <v>40000</v>
      </c>
      <c r="I22" s="22">
        <f t="shared" si="1"/>
        <v>5.0000000000000044E-2</v>
      </c>
      <c r="J22" s="36" t="s">
        <v>148</v>
      </c>
      <c r="K22" s="20" t="str">
        <f>IF(J22="N","DECLINED - docs missing",IF(ROUND(I22,6)&gt;Assumptions!$C$6,"REVIEW - above YoY cap","OK"))</f>
        <v>OK</v>
      </c>
      <c r="L22" s="21">
        <f>IF(J22="N",0,IF(ROUND(I22,6)&gt;Assumptions!$C$6,H22*(1+Assumptions!$C$6),G22))</f>
        <v>42000</v>
      </c>
      <c r="M22" s="21">
        <f t="shared" si="2"/>
        <v>0</v>
      </c>
      <c r="N22" s="35"/>
    </row>
    <row r="23" spans="1:14" x14ac:dyDescent="0.25">
      <c r="A23" s="35" t="s">
        <v>179</v>
      </c>
      <c r="B23" s="35" t="s">
        <v>63</v>
      </c>
      <c r="C23" s="35" t="s">
        <v>66</v>
      </c>
      <c r="D23" s="35" t="s">
        <v>180</v>
      </c>
      <c r="E23" s="38">
        <v>1</v>
      </c>
      <c r="F23" s="38">
        <v>14000</v>
      </c>
      <c r="G23" s="21">
        <f t="shared" si="0"/>
        <v>14000</v>
      </c>
      <c r="H23" s="38">
        <v>9000</v>
      </c>
      <c r="I23" s="22">
        <f t="shared" si="1"/>
        <v>0.55555555555555558</v>
      </c>
      <c r="J23" s="36" t="s">
        <v>148</v>
      </c>
      <c r="K23" s="20" t="str">
        <f>IF(J23="N","DECLINED - docs missing",IF(ROUND(I23,6)&gt;Assumptions!$C$6,"REVIEW - above YoY cap","OK"))</f>
        <v>REVIEW - above YoY cap</v>
      </c>
      <c r="L23" s="21">
        <f>IF(J23="N",0,IF(ROUND(I23,6)&gt;Assumptions!$C$6,H23*(1+Assumptions!$C$6),G23))</f>
        <v>9900</v>
      </c>
      <c r="M23" s="21">
        <f t="shared" si="2"/>
        <v>4100</v>
      </c>
      <c r="N23" s="35" t="s">
        <v>181</v>
      </c>
    </row>
    <row r="24" spans="1:14" x14ac:dyDescent="0.25">
      <c r="A24" s="35" t="s">
        <v>182</v>
      </c>
      <c r="B24" s="35" t="s">
        <v>63</v>
      </c>
      <c r="C24" s="35" t="s">
        <v>74</v>
      </c>
      <c r="D24" s="35" t="s">
        <v>183</v>
      </c>
      <c r="E24" s="38">
        <v>1</v>
      </c>
      <c r="F24" s="38">
        <v>25000</v>
      </c>
      <c r="G24" s="21">
        <f t="shared" si="0"/>
        <v>25000</v>
      </c>
      <c r="H24" s="38">
        <v>22000</v>
      </c>
      <c r="I24" s="22">
        <f t="shared" si="1"/>
        <v>0.13636363636363646</v>
      </c>
      <c r="J24" s="36" t="s">
        <v>148</v>
      </c>
      <c r="K24" s="20" t="str">
        <f>IF(J24="N","DECLINED - docs missing",IF(ROUND(I24,6)&gt;Assumptions!$C$6,"REVIEW - above YoY cap","OK"))</f>
        <v>REVIEW - above YoY cap</v>
      </c>
      <c r="L24" s="21">
        <f>IF(J24="N",0,IF(ROUND(I24,6)&gt;Assumptions!$C$6,H24*(1+Assumptions!$C$6),G24))</f>
        <v>24200.000000000004</v>
      </c>
      <c r="M24" s="21">
        <f t="shared" si="2"/>
        <v>799.99999999999636</v>
      </c>
      <c r="N24" s="35" t="s">
        <v>184</v>
      </c>
    </row>
    <row r="25" spans="1:14" x14ac:dyDescent="0.25">
      <c r="A25" s="35" t="s">
        <v>185</v>
      </c>
      <c r="B25" s="35" t="s">
        <v>65</v>
      </c>
      <c r="C25" s="35" t="s">
        <v>60</v>
      </c>
      <c r="D25" s="35" t="s">
        <v>186</v>
      </c>
      <c r="E25" s="38">
        <v>12</v>
      </c>
      <c r="F25" s="38">
        <v>6500</v>
      </c>
      <c r="G25" s="21">
        <f t="shared" si="0"/>
        <v>78000</v>
      </c>
      <c r="H25" s="38">
        <v>74000</v>
      </c>
      <c r="I25" s="22">
        <f t="shared" si="1"/>
        <v>5.4054054054053946E-2</v>
      </c>
      <c r="J25" s="36" t="s">
        <v>148</v>
      </c>
      <c r="K25" s="20" t="str">
        <f>IF(J25="N","DECLINED - docs missing",IF(ROUND(I25,6)&gt;Assumptions!$C$6,"REVIEW - above YoY cap","OK"))</f>
        <v>OK</v>
      </c>
      <c r="L25" s="21">
        <f>IF(J25="N",0,IF(ROUND(I25,6)&gt;Assumptions!$C$6,H25*(1+Assumptions!$C$6),G25))</f>
        <v>78000</v>
      </c>
      <c r="M25" s="21">
        <f t="shared" si="2"/>
        <v>0</v>
      </c>
      <c r="N25" s="35"/>
    </row>
    <row r="26" spans="1:14" x14ac:dyDescent="0.25">
      <c r="A26" s="35" t="s">
        <v>187</v>
      </c>
      <c r="B26" s="35" t="s">
        <v>65</v>
      </c>
      <c r="C26" s="35" t="s">
        <v>60</v>
      </c>
      <c r="D26" s="35" t="s">
        <v>188</v>
      </c>
      <c r="E26" s="38">
        <v>1</v>
      </c>
      <c r="F26" s="38">
        <v>3200</v>
      </c>
      <c r="G26" s="21">
        <f t="shared" si="0"/>
        <v>3200</v>
      </c>
      <c r="H26" s="38">
        <v>2800</v>
      </c>
      <c r="I26" s="22">
        <f t="shared" si="1"/>
        <v>0.14285714285714279</v>
      </c>
      <c r="J26" s="36" t="s">
        <v>148</v>
      </c>
      <c r="K26" s="20" t="str">
        <f>IF(J26="N","DECLINED - docs missing",IF(ROUND(I26,6)&gt;Assumptions!$C$6,"REVIEW - above YoY cap","OK"))</f>
        <v>REVIEW - above YoY cap</v>
      </c>
      <c r="L26" s="21">
        <f>IF(J26="N",0,IF(ROUND(I26,6)&gt;Assumptions!$C$6,H26*(1+Assumptions!$C$6),G26))</f>
        <v>3080.0000000000005</v>
      </c>
      <c r="M26" s="21">
        <f t="shared" si="2"/>
        <v>119.99999999999955</v>
      </c>
      <c r="N26" s="35" t="s">
        <v>189</v>
      </c>
    </row>
    <row r="27" spans="1:14" x14ac:dyDescent="0.25">
      <c r="A27" s="35" t="s">
        <v>190</v>
      </c>
      <c r="B27" s="35" t="s">
        <v>65</v>
      </c>
      <c r="C27" s="35" t="s">
        <v>72</v>
      </c>
      <c r="D27" s="35" t="s">
        <v>191</v>
      </c>
      <c r="E27" s="38">
        <v>12</v>
      </c>
      <c r="F27" s="38">
        <v>1600</v>
      </c>
      <c r="G27" s="21">
        <f t="shared" si="0"/>
        <v>19200</v>
      </c>
      <c r="H27" s="38">
        <v>18500</v>
      </c>
      <c r="I27" s="22">
        <f t="shared" si="1"/>
        <v>3.7837837837837895E-2</v>
      </c>
      <c r="J27" s="36" t="s">
        <v>148</v>
      </c>
      <c r="K27" s="20" t="str">
        <f>IF(J27="N","DECLINED - docs missing",IF(ROUND(I27,6)&gt;Assumptions!$C$6,"REVIEW - above YoY cap","OK"))</f>
        <v>OK</v>
      </c>
      <c r="L27" s="21">
        <f>IF(J27="N",0,IF(ROUND(I27,6)&gt;Assumptions!$C$6,H27*(1+Assumptions!$C$6),G27))</f>
        <v>19200</v>
      </c>
      <c r="M27" s="21">
        <f t="shared" si="2"/>
        <v>0</v>
      </c>
      <c r="N27" s="35"/>
    </row>
    <row r="28" spans="1:14" x14ac:dyDescent="0.25">
      <c r="A28" s="35" t="s">
        <v>192</v>
      </c>
      <c r="B28" s="35" t="s">
        <v>67</v>
      </c>
      <c r="C28" s="35" t="s">
        <v>73</v>
      </c>
      <c r="D28" s="35" t="s">
        <v>193</v>
      </c>
      <c r="E28" s="38">
        <v>1</v>
      </c>
      <c r="F28" s="38">
        <v>4500</v>
      </c>
      <c r="G28" s="21">
        <f t="shared" si="0"/>
        <v>4500</v>
      </c>
      <c r="H28" s="38">
        <v>4200</v>
      </c>
      <c r="I28" s="22">
        <f t="shared" si="1"/>
        <v>7.1428571428571397E-2</v>
      </c>
      <c r="J28" s="36" t="s">
        <v>148</v>
      </c>
      <c r="K28" s="20" t="str">
        <f>IF(J28="N","DECLINED - docs missing",IF(ROUND(I28,6)&gt;Assumptions!$C$6,"REVIEW - above YoY cap","OK"))</f>
        <v>OK</v>
      </c>
      <c r="L28" s="21">
        <f>IF(J28="N",0,IF(ROUND(I28,6)&gt;Assumptions!$C$6,H28*(1+Assumptions!$C$6),G28))</f>
        <v>4500</v>
      </c>
      <c r="M28" s="21">
        <f t="shared" si="2"/>
        <v>0</v>
      </c>
      <c r="N28" s="35"/>
    </row>
    <row r="29" spans="1:14" x14ac:dyDescent="0.25">
      <c r="A29" s="35" t="s">
        <v>194</v>
      </c>
      <c r="B29" s="35" t="s">
        <v>67</v>
      </c>
      <c r="C29" s="35" t="s">
        <v>72</v>
      </c>
      <c r="D29" s="35" t="s">
        <v>195</v>
      </c>
      <c r="E29" s="38">
        <v>1</v>
      </c>
      <c r="F29" s="38">
        <v>6000</v>
      </c>
      <c r="G29" s="21">
        <f t="shared" si="0"/>
        <v>6000</v>
      </c>
      <c r="H29" s="38">
        <v>5800</v>
      </c>
      <c r="I29" s="22">
        <f t="shared" si="1"/>
        <v>3.4482758620689724E-2</v>
      </c>
      <c r="J29" s="36" t="s">
        <v>148</v>
      </c>
      <c r="K29" s="20" t="str">
        <f>IF(J29="N","DECLINED - docs missing",IF(ROUND(I29,6)&gt;Assumptions!$C$6,"REVIEW - above YoY cap","OK"))</f>
        <v>OK</v>
      </c>
      <c r="L29" s="21">
        <f>IF(J29="N",0,IF(ROUND(I29,6)&gt;Assumptions!$C$6,H29*(1+Assumptions!$C$6),G29))</f>
        <v>6000</v>
      </c>
      <c r="M29" s="21">
        <f t="shared" si="2"/>
        <v>0</v>
      </c>
      <c r="N29" s="35"/>
    </row>
    <row r="30" spans="1:14" x14ac:dyDescent="0.25">
      <c r="A30" s="35" t="s">
        <v>196</v>
      </c>
      <c r="B30" s="35" t="s">
        <v>69</v>
      </c>
      <c r="C30" s="35" t="s">
        <v>73</v>
      </c>
      <c r="D30" s="35" t="s">
        <v>197</v>
      </c>
      <c r="E30" s="38">
        <v>1</v>
      </c>
      <c r="F30" s="38">
        <v>4800</v>
      </c>
      <c r="G30" s="21">
        <f t="shared" si="0"/>
        <v>4800</v>
      </c>
      <c r="H30" s="38">
        <v>4500</v>
      </c>
      <c r="I30" s="22">
        <f t="shared" si="1"/>
        <v>6.6666666666666652E-2</v>
      </c>
      <c r="J30" s="36" t="s">
        <v>148</v>
      </c>
      <c r="K30" s="20" t="str">
        <f>IF(J30="N","DECLINED - docs missing",IF(ROUND(I30,6)&gt;Assumptions!$C$6,"REVIEW - above YoY cap","OK"))</f>
        <v>OK</v>
      </c>
      <c r="L30" s="21">
        <f>IF(J30="N",0,IF(ROUND(I30,6)&gt;Assumptions!$C$6,H30*(1+Assumptions!$C$6),G30))</f>
        <v>4800</v>
      </c>
      <c r="M30" s="21">
        <f t="shared" si="2"/>
        <v>0</v>
      </c>
      <c r="N30" s="35"/>
    </row>
    <row r="31" spans="1:14" x14ac:dyDescent="0.25">
      <c r="A31" s="35" t="s">
        <v>198</v>
      </c>
      <c r="B31" s="35" t="s">
        <v>69</v>
      </c>
      <c r="C31" s="35" t="s">
        <v>66</v>
      </c>
      <c r="D31" s="35" t="s">
        <v>199</v>
      </c>
      <c r="E31" s="38">
        <v>1</v>
      </c>
      <c r="F31" s="38">
        <v>5300</v>
      </c>
      <c r="G31" s="21">
        <f t="shared" si="0"/>
        <v>5300</v>
      </c>
      <c r="H31" s="38">
        <v>5000</v>
      </c>
      <c r="I31" s="22">
        <f t="shared" si="1"/>
        <v>6.0000000000000053E-2</v>
      </c>
      <c r="J31" s="36" t="s">
        <v>148</v>
      </c>
      <c r="K31" s="20" t="str">
        <f>IF(J31="N","DECLINED - docs missing",IF(ROUND(I31,6)&gt;Assumptions!$C$6,"REVIEW - above YoY cap","OK"))</f>
        <v>OK</v>
      </c>
      <c r="L31" s="21">
        <f>IF(J31="N",0,IF(ROUND(I31,6)&gt;Assumptions!$C$6,H31*(1+Assumptions!$C$6),G31))</f>
        <v>5300</v>
      </c>
      <c r="M31" s="21">
        <f t="shared" si="2"/>
        <v>0</v>
      </c>
      <c r="N31" s="35"/>
    </row>
  </sheetData>
  <conditionalFormatting sqref="K7:K80">
    <cfRule type="expression" dxfId="11" priority="1">
      <formula>OR(ISNUMBER(SEARCH("OVER",K7)),ISNUMBER(SEARCH("BELOW",K7)),ISNUMBER(SEARCH("DECLINED",K7)),ISNUMBER(SEARCH("FAIL",K7)),ISNUMBER(SEARCH("REVIEW FAILED",K7)))</formula>
    </cfRule>
    <cfRule type="expression" dxfId="10" priority="2">
      <formula>OR(ISNUMBER(SEARCH("WATCH",K7)),ISNUMBER(SEARCH("REVIEW",K7)))</formula>
    </cfRule>
    <cfRule type="expression" dxfId="9" priority="3">
      <formula>OR(ISNUMBER(SEARCH("ON TRACK",K7)),ISNUMBER(SEARCH("OK",K7)),ISNUMBER(SEARCH("PASS",K7)))</formula>
    </cfRule>
  </conditionalFormatting>
  <dataValidations count="1">
    <dataValidation type="list" allowBlank="1" sqref="J7:J80" xr:uid="{00000000-0002-0000-0400-000002000000}">
      <formula1>"Y,N"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400-000000000000}">
          <x14:formula1>
            <xm:f>Assumptions!$B$14:$B$21</xm:f>
          </x14:formula1>
          <xm:sqref>B7:B80</xm:sqref>
        </x14:dataValidation>
        <x14:dataValidation type="list" allowBlank="1" xr:uid="{00000000-0002-0000-0400-000001000000}">
          <x14:formula1>
            <xm:f>Assumptions!$D$14:$D$25</xm:f>
          </x14:formula1>
          <xm:sqref>C7:C80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3A5F"/>
    <pageSetUpPr fitToPage="1"/>
  </sheetPr>
  <dimension ref="A1:N27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4" customWidth="1"/>
    <col min="2" max="14" width="14" customWidth="1"/>
  </cols>
  <sheetData>
    <row r="1" spans="1:8" ht="20.25" x14ac:dyDescent="0.3">
      <c r="A1" s="28" t="s">
        <v>200</v>
      </c>
    </row>
    <row r="2" spans="1:8" x14ac:dyDescent="0.25">
      <c r="A2" s="29" t="s">
        <v>201</v>
      </c>
    </row>
    <row r="5" spans="1:8" ht="32.1" customHeight="1" x14ac:dyDescent="0.25">
      <c r="A5" s="19" t="s">
        <v>9</v>
      </c>
      <c r="B5" s="19" t="s">
        <v>139</v>
      </c>
      <c r="C5" s="19" t="s">
        <v>202</v>
      </c>
      <c r="D5" s="19" t="s">
        <v>145</v>
      </c>
      <c r="E5" s="19" t="s">
        <v>203</v>
      </c>
      <c r="F5" s="19" t="s">
        <v>140</v>
      </c>
      <c r="G5" s="19" t="s">
        <v>204</v>
      </c>
      <c r="H5" s="19" t="s">
        <v>205</v>
      </c>
    </row>
    <row r="6" spans="1:8" x14ac:dyDescent="0.25">
      <c r="A6" s="44" t="str">
        <f>Assumptions!B14</f>
        <v>Programming</v>
      </c>
      <c r="B6" s="43">
        <f>SUMIFS(Submissions!$G$7:$G$80,Submissions!$B$7:$B$80,$A6)</f>
        <v>259660</v>
      </c>
      <c r="C6" s="43">
        <f>SUMIFS(Submissions!$L$7:$L$80,Submissions!$B$7:$B$80,$A6)</f>
        <v>259640</v>
      </c>
      <c r="D6" s="21">
        <f t="shared" ref="D6:D13" si="0">B6-C6</f>
        <v>20</v>
      </c>
      <c r="E6" s="22">
        <f t="shared" ref="E6:E14" si="1">IFERROR(D6/B6,0)</f>
        <v>7.7023800354309477E-5</v>
      </c>
      <c r="F6" s="43">
        <f>SUMIFS(Submissions!$H$7:$H$80,Submissions!$B$7:$B$80,$A6)</f>
        <v>253000</v>
      </c>
      <c r="G6" s="22">
        <f t="shared" ref="G6:G14" si="2">IFERROR(C6/F6-1,0)</f>
        <v>2.6245059288537487E-2</v>
      </c>
      <c r="H6" s="22">
        <f t="shared" ref="H6:H13" si="3">IFERROR(C6/$C$14,0)</f>
        <v>0.40605548778580591</v>
      </c>
    </row>
    <row r="7" spans="1:8" x14ac:dyDescent="0.25">
      <c r="A7" s="44" t="str">
        <f>Assumptions!B15</f>
        <v>News</v>
      </c>
      <c r="B7" s="43">
        <f>SUMIFS(Submissions!$G$7:$G$80,Submissions!$B$7:$B$80,$A7)</f>
        <v>82100</v>
      </c>
      <c r="C7" s="43">
        <f>SUMIFS(Submissions!$L$7:$L$80,Submissions!$B$7:$B$80,$A7)</f>
        <v>82100</v>
      </c>
      <c r="D7" s="21">
        <f t="shared" si="0"/>
        <v>0</v>
      </c>
      <c r="E7" s="22">
        <f t="shared" si="1"/>
        <v>0</v>
      </c>
      <c r="F7" s="43">
        <f>SUMIFS(Submissions!$H$7:$H$80,Submissions!$B$7:$B$80,$A7)</f>
        <v>76000</v>
      </c>
      <c r="G7" s="22">
        <f t="shared" si="2"/>
        <v>8.0263157894736814E-2</v>
      </c>
      <c r="H7" s="22">
        <f t="shared" si="3"/>
        <v>0.12839761033436553</v>
      </c>
    </row>
    <row r="8" spans="1:8" x14ac:dyDescent="0.25">
      <c r="A8" s="44" t="str">
        <f>Assumptions!B16</f>
        <v>Production Support</v>
      </c>
      <c r="B8" s="43">
        <f>SUMIFS(Submissions!$G$7:$G$80,Submissions!$B$7:$B$80,$A8)</f>
        <v>60000</v>
      </c>
      <c r="C8" s="43">
        <f>SUMIFS(Submissions!$L$7:$L$80,Submissions!$B$7:$B$80,$A8)</f>
        <v>55200</v>
      </c>
      <c r="D8" s="21">
        <f t="shared" si="0"/>
        <v>4800</v>
      </c>
      <c r="E8" s="22">
        <f t="shared" si="1"/>
        <v>0.08</v>
      </c>
      <c r="F8" s="43">
        <f>SUMIFS(Submissions!$H$7:$H$80,Submissions!$B$7:$B$80,$A8)</f>
        <v>51000</v>
      </c>
      <c r="G8" s="22">
        <f t="shared" si="2"/>
        <v>8.2352941176470518E-2</v>
      </c>
      <c r="H8" s="22">
        <f t="shared" si="3"/>
        <v>8.6328234962935166E-2</v>
      </c>
    </row>
    <row r="9" spans="1:8" x14ac:dyDescent="0.25">
      <c r="A9" s="44" t="str">
        <f>Assumptions!B17</f>
        <v>Sales &amp; Marketing</v>
      </c>
      <c r="B9" s="43">
        <f>SUMIFS(Submissions!$G$7:$G$80,Submissions!$B$7:$B$80,$A9)</f>
        <v>76000</v>
      </c>
      <c r="C9" s="43">
        <f>SUMIFS(Submissions!$L$7:$L$80,Submissions!$B$7:$B$80,$A9)</f>
        <v>45500</v>
      </c>
      <c r="D9" s="21">
        <f t="shared" si="0"/>
        <v>30500</v>
      </c>
      <c r="E9" s="22">
        <f t="shared" si="1"/>
        <v>0.40131578947368424</v>
      </c>
      <c r="F9" s="43">
        <f>SUMIFS(Submissions!$H$7:$H$80,Submissions!$B$7:$B$80,$A9)</f>
        <v>69500</v>
      </c>
      <c r="G9" s="22">
        <f t="shared" si="2"/>
        <v>-0.34532374100719421</v>
      </c>
      <c r="H9" s="22">
        <f t="shared" si="3"/>
        <v>7.1158237152419382E-2</v>
      </c>
    </row>
    <row r="10" spans="1:8" x14ac:dyDescent="0.25">
      <c r="A10" s="44" t="str">
        <f>Assumptions!B18</f>
        <v>Technology</v>
      </c>
      <c r="B10" s="43">
        <f>SUMIFS(Submissions!$G$7:$G$80,Submissions!$B$7:$B$80,$A10)</f>
        <v>81000</v>
      </c>
      <c r="C10" s="43">
        <f>SUMIFS(Submissions!$L$7:$L$80,Submissions!$B$7:$B$80,$A10)</f>
        <v>76100</v>
      </c>
      <c r="D10" s="21">
        <f t="shared" si="0"/>
        <v>4900</v>
      </c>
      <c r="E10" s="22">
        <f t="shared" si="1"/>
        <v>6.0493827160493827E-2</v>
      </c>
      <c r="F10" s="43">
        <f>SUMIFS(Submissions!$H$7:$H$80,Submissions!$B$7:$B$80,$A10)</f>
        <v>71000</v>
      </c>
      <c r="G10" s="22">
        <f t="shared" si="2"/>
        <v>7.1830985915492862E-2</v>
      </c>
      <c r="H10" s="22">
        <f t="shared" si="3"/>
        <v>0.11901410653404648</v>
      </c>
    </row>
    <row r="11" spans="1:8" x14ac:dyDescent="0.25">
      <c r="A11" s="44" t="str">
        <f>Assumptions!B19</f>
        <v>HR &amp; GA</v>
      </c>
      <c r="B11" s="43">
        <f>SUMIFS(Submissions!$G$7:$G$80,Submissions!$B$7:$B$80,$A11)</f>
        <v>100400</v>
      </c>
      <c r="C11" s="43">
        <f>SUMIFS(Submissions!$L$7:$L$80,Submissions!$B$7:$B$80,$A11)</f>
        <v>100280</v>
      </c>
      <c r="D11" s="21">
        <f t="shared" si="0"/>
        <v>120</v>
      </c>
      <c r="E11" s="22">
        <f t="shared" si="1"/>
        <v>1.195219123505976E-3</v>
      </c>
      <c r="F11" s="43">
        <f>SUMIFS(Submissions!$H$7:$H$80,Submissions!$B$7:$B$80,$A11)</f>
        <v>95300</v>
      </c>
      <c r="G11" s="22">
        <f t="shared" si="2"/>
        <v>5.2256033578174099E-2</v>
      </c>
      <c r="H11" s="22">
        <f t="shared" si="3"/>
        <v>0.15682962684933222</v>
      </c>
    </row>
    <row r="12" spans="1:8" x14ac:dyDescent="0.25">
      <c r="A12" s="44" t="str">
        <f>Assumptions!B20</f>
        <v>Finance</v>
      </c>
      <c r="B12" s="43">
        <f>SUMIFS(Submissions!$G$7:$G$80,Submissions!$B$7:$B$80,$A12)</f>
        <v>10500</v>
      </c>
      <c r="C12" s="43">
        <f>SUMIFS(Submissions!$L$7:$L$80,Submissions!$B$7:$B$80,$A12)</f>
        <v>10500</v>
      </c>
      <c r="D12" s="21">
        <f t="shared" si="0"/>
        <v>0</v>
      </c>
      <c r="E12" s="22">
        <f t="shared" si="1"/>
        <v>0</v>
      </c>
      <c r="F12" s="43">
        <f>SUMIFS(Submissions!$H$7:$H$80,Submissions!$B$7:$B$80,$A12)</f>
        <v>10000</v>
      </c>
      <c r="G12" s="22">
        <f t="shared" si="2"/>
        <v>5.0000000000000044E-2</v>
      </c>
      <c r="H12" s="22">
        <f t="shared" si="3"/>
        <v>1.6421131650558318E-2</v>
      </c>
    </row>
    <row r="13" spans="1:8" x14ac:dyDescent="0.25">
      <c r="A13" s="44" t="str">
        <f>Assumptions!B21</f>
        <v>Legal &amp; Corsec</v>
      </c>
      <c r="B13" s="43">
        <f>SUMIFS(Submissions!$G$7:$G$80,Submissions!$B$7:$B$80,$A13)</f>
        <v>10100</v>
      </c>
      <c r="C13" s="43">
        <f>SUMIFS(Submissions!$L$7:$L$80,Submissions!$B$7:$B$80,$A13)</f>
        <v>10100</v>
      </c>
      <c r="D13" s="21">
        <f t="shared" si="0"/>
        <v>0</v>
      </c>
      <c r="E13" s="22">
        <f t="shared" si="1"/>
        <v>0</v>
      </c>
      <c r="F13" s="43">
        <f>SUMIFS(Submissions!$H$7:$H$80,Submissions!$B$7:$B$80,$A13)</f>
        <v>9500</v>
      </c>
      <c r="G13" s="22">
        <f t="shared" si="2"/>
        <v>6.315789473684208E-2</v>
      </c>
      <c r="H13" s="22">
        <f t="shared" si="3"/>
        <v>1.5795564730537049E-2</v>
      </c>
    </row>
    <row r="14" spans="1:8" x14ac:dyDescent="0.25">
      <c r="A14" s="13" t="s">
        <v>133</v>
      </c>
      <c r="B14" s="23">
        <f>SUM(B6:B13)</f>
        <v>679760</v>
      </c>
      <c r="C14" s="23">
        <f>SUM(C6:C13)</f>
        <v>639420</v>
      </c>
      <c r="D14" s="23">
        <f>SUM(D6:D13)</f>
        <v>40340</v>
      </c>
      <c r="E14" s="24">
        <f t="shared" si="1"/>
        <v>5.9344474520418973E-2</v>
      </c>
      <c r="F14" s="23">
        <f>SUM(F6:F13)</f>
        <v>635300</v>
      </c>
      <c r="G14" s="24">
        <f t="shared" si="2"/>
        <v>6.4851251377302521E-3</v>
      </c>
      <c r="H14" s="24">
        <f>SUM(H6:H13)</f>
        <v>1</v>
      </c>
    </row>
    <row r="16" spans="1:8" x14ac:dyDescent="0.25">
      <c r="A16" s="6" t="s">
        <v>206</v>
      </c>
    </row>
    <row r="18" spans="1:14" ht="39.950000000000003" customHeight="1" x14ac:dyDescent="0.25">
      <c r="A18" s="19" t="s">
        <v>9</v>
      </c>
      <c r="B18" s="19" t="str">
        <f>Assumptions!D14</f>
        <v>Program Production</v>
      </c>
      <c r="C18" s="19" t="str">
        <f>Assumptions!D15</f>
        <v>Program Acquisition</v>
      </c>
      <c r="D18" s="19" t="str">
        <f>Assumptions!D16</f>
        <v>Personnel</v>
      </c>
      <c r="E18" s="19" t="str">
        <f>Assumptions!D17</f>
        <v>News Production</v>
      </c>
      <c r="F18" s="19" t="str">
        <f>Assumptions!D18</f>
        <v>Technical</v>
      </c>
      <c r="G18" s="19" t="str">
        <f>Assumptions!D19</f>
        <v>Licences</v>
      </c>
      <c r="H18" s="19" t="str">
        <f>Assumptions!D20</f>
        <v>Marketing</v>
      </c>
      <c r="I18" s="19" t="str">
        <f>Assumptions!D21</f>
        <v>Commission</v>
      </c>
      <c r="J18" s="19" t="str">
        <f>Assumptions!D22</f>
        <v>Operations</v>
      </c>
      <c r="K18" s="19" t="str">
        <f>Assumptions!D23</f>
        <v>General</v>
      </c>
      <c r="L18" s="19" t="str">
        <f>Assumptions!D24</f>
        <v>Professional Services</v>
      </c>
      <c r="M18" s="19" t="str">
        <f>Assumptions!D25</f>
        <v>Capex</v>
      </c>
      <c r="N18" s="19" t="s">
        <v>76</v>
      </c>
    </row>
    <row r="19" spans="1:14" x14ac:dyDescent="0.25">
      <c r="A19" s="44" t="str">
        <f>Assumptions!B14</f>
        <v>Programming</v>
      </c>
      <c r="B19" s="43">
        <f>SUMIFS(Submissions!$L$7:$L$80,Submissions!$B$7:$B$80,$A19,Submissions!$C$7:$C$80,B$18)</f>
        <v>240940</v>
      </c>
      <c r="C19" s="43">
        <f>SUMIFS(Submissions!$L$7:$L$80,Submissions!$B$7:$B$80,$A19,Submissions!$C$7:$C$80,C$18)</f>
        <v>18700</v>
      </c>
      <c r="D19" s="43">
        <f>SUMIFS(Submissions!$L$7:$L$80,Submissions!$B$7:$B$80,$A19,Submissions!$C$7:$C$80,D$18)</f>
        <v>0</v>
      </c>
      <c r="E19" s="43">
        <f>SUMIFS(Submissions!$L$7:$L$80,Submissions!$B$7:$B$80,$A19,Submissions!$C$7:$C$80,E$18)</f>
        <v>0</v>
      </c>
      <c r="F19" s="43">
        <f>SUMIFS(Submissions!$L$7:$L$80,Submissions!$B$7:$B$80,$A19,Submissions!$C$7:$C$80,F$18)</f>
        <v>0</v>
      </c>
      <c r="G19" s="43">
        <f>SUMIFS(Submissions!$L$7:$L$80,Submissions!$B$7:$B$80,$A19,Submissions!$C$7:$C$80,G$18)</f>
        <v>0</v>
      </c>
      <c r="H19" s="43">
        <f>SUMIFS(Submissions!$L$7:$L$80,Submissions!$B$7:$B$80,$A19,Submissions!$C$7:$C$80,H$18)</f>
        <v>0</v>
      </c>
      <c r="I19" s="43">
        <f>SUMIFS(Submissions!$L$7:$L$80,Submissions!$B$7:$B$80,$A19,Submissions!$C$7:$C$80,I$18)</f>
        <v>0</v>
      </c>
      <c r="J19" s="43">
        <f>SUMIFS(Submissions!$L$7:$L$80,Submissions!$B$7:$B$80,$A19,Submissions!$C$7:$C$80,J$18)</f>
        <v>0</v>
      </c>
      <c r="K19" s="43">
        <f>SUMIFS(Submissions!$L$7:$L$80,Submissions!$B$7:$B$80,$A19,Submissions!$C$7:$C$80,K$18)</f>
        <v>0</v>
      </c>
      <c r="L19" s="43">
        <f>SUMIFS(Submissions!$L$7:$L$80,Submissions!$B$7:$B$80,$A19,Submissions!$C$7:$C$80,L$18)</f>
        <v>0</v>
      </c>
      <c r="M19" s="43">
        <f>SUMIFS(Submissions!$L$7:$L$80,Submissions!$B$7:$B$80,$A19,Submissions!$C$7:$C$80,M$18)</f>
        <v>0</v>
      </c>
      <c r="N19" s="21">
        <f t="shared" ref="N19:N26" si="4">SUM(B19:M19)</f>
        <v>259640</v>
      </c>
    </row>
    <row r="20" spans="1:14" x14ac:dyDescent="0.25">
      <c r="A20" s="44" t="str">
        <f>Assumptions!B15</f>
        <v>News</v>
      </c>
      <c r="B20" s="43">
        <f>SUMIFS(Submissions!$L$7:$L$80,Submissions!$B$7:$B$80,$A20,Submissions!$C$7:$C$80,B$18)</f>
        <v>0</v>
      </c>
      <c r="C20" s="43">
        <f>SUMIFS(Submissions!$L$7:$L$80,Submissions!$B$7:$B$80,$A20,Submissions!$C$7:$C$80,C$18)</f>
        <v>0</v>
      </c>
      <c r="D20" s="43">
        <f>SUMIFS(Submissions!$L$7:$L$80,Submissions!$B$7:$B$80,$A20,Submissions!$C$7:$C$80,D$18)</f>
        <v>54000</v>
      </c>
      <c r="E20" s="43">
        <f>SUMIFS(Submissions!$L$7:$L$80,Submissions!$B$7:$B$80,$A20,Submissions!$C$7:$C$80,E$18)</f>
        <v>21600</v>
      </c>
      <c r="F20" s="43">
        <f>SUMIFS(Submissions!$L$7:$L$80,Submissions!$B$7:$B$80,$A20,Submissions!$C$7:$C$80,F$18)</f>
        <v>0</v>
      </c>
      <c r="G20" s="43">
        <f>SUMIFS(Submissions!$L$7:$L$80,Submissions!$B$7:$B$80,$A20,Submissions!$C$7:$C$80,G$18)</f>
        <v>6500</v>
      </c>
      <c r="H20" s="43">
        <f>SUMIFS(Submissions!$L$7:$L$80,Submissions!$B$7:$B$80,$A20,Submissions!$C$7:$C$80,H$18)</f>
        <v>0</v>
      </c>
      <c r="I20" s="43">
        <f>SUMIFS(Submissions!$L$7:$L$80,Submissions!$B$7:$B$80,$A20,Submissions!$C$7:$C$80,I$18)</f>
        <v>0</v>
      </c>
      <c r="J20" s="43">
        <f>SUMIFS(Submissions!$L$7:$L$80,Submissions!$B$7:$B$80,$A20,Submissions!$C$7:$C$80,J$18)</f>
        <v>0</v>
      </c>
      <c r="K20" s="43">
        <f>SUMIFS(Submissions!$L$7:$L$80,Submissions!$B$7:$B$80,$A20,Submissions!$C$7:$C$80,K$18)</f>
        <v>0</v>
      </c>
      <c r="L20" s="43">
        <f>SUMIFS(Submissions!$L$7:$L$80,Submissions!$B$7:$B$80,$A20,Submissions!$C$7:$C$80,L$18)</f>
        <v>0</v>
      </c>
      <c r="M20" s="43">
        <f>SUMIFS(Submissions!$L$7:$L$80,Submissions!$B$7:$B$80,$A20,Submissions!$C$7:$C$80,M$18)</f>
        <v>0</v>
      </c>
      <c r="N20" s="21">
        <f t="shared" si="4"/>
        <v>82100</v>
      </c>
    </row>
    <row r="21" spans="1:14" x14ac:dyDescent="0.25">
      <c r="A21" s="44" t="str">
        <f>Assumptions!B16</f>
        <v>Production Support</v>
      </c>
      <c r="B21" s="43">
        <f>SUMIFS(Submissions!$L$7:$L$80,Submissions!$B$7:$B$80,$A21,Submissions!$C$7:$C$80,B$18)</f>
        <v>0</v>
      </c>
      <c r="C21" s="43">
        <f>SUMIFS(Submissions!$L$7:$L$80,Submissions!$B$7:$B$80,$A21,Submissions!$C$7:$C$80,C$18)</f>
        <v>0</v>
      </c>
      <c r="D21" s="43">
        <f>SUMIFS(Submissions!$L$7:$L$80,Submissions!$B$7:$B$80,$A21,Submissions!$C$7:$C$80,D$18)</f>
        <v>0</v>
      </c>
      <c r="E21" s="43">
        <f>SUMIFS(Submissions!$L$7:$L$80,Submissions!$B$7:$B$80,$A21,Submissions!$C$7:$C$80,E$18)</f>
        <v>13200.000000000002</v>
      </c>
      <c r="F21" s="43">
        <f>SUMIFS(Submissions!$L$7:$L$80,Submissions!$B$7:$B$80,$A21,Submissions!$C$7:$C$80,F$18)</f>
        <v>33600</v>
      </c>
      <c r="G21" s="43">
        <f>SUMIFS(Submissions!$L$7:$L$80,Submissions!$B$7:$B$80,$A21,Submissions!$C$7:$C$80,G$18)</f>
        <v>0</v>
      </c>
      <c r="H21" s="43">
        <f>SUMIFS(Submissions!$L$7:$L$80,Submissions!$B$7:$B$80,$A21,Submissions!$C$7:$C$80,H$18)</f>
        <v>0</v>
      </c>
      <c r="I21" s="43">
        <f>SUMIFS(Submissions!$L$7:$L$80,Submissions!$B$7:$B$80,$A21,Submissions!$C$7:$C$80,I$18)</f>
        <v>0</v>
      </c>
      <c r="J21" s="43">
        <f>SUMIFS(Submissions!$L$7:$L$80,Submissions!$B$7:$B$80,$A21,Submissions!$C$7:$C$80,J$18)</f>
        <v>8400</v>
      </c>
      <c r="K21" s="43">
        <f>SUMIFS(Submissions!$L$7:$L$80,Submissions!$B$7:$B$80,$A21,Submissions!$C$7:$C$80,K$18)</f>
        <v>0</v>
      </c>
      <c r="L21" s="43">
        <f>SUMIFS(Submissions!$L$7:$L$80,Submissions!$B$7:$B$80,$A21,Submissions!$C$7:$C$80,L$18)</f>
        <v>0</v>
      </c>
      <c r="M21" s="43">
        <f>SUMIFS(Submissions!$L$7:$L$80,Submissions!$B$7:$B$80,$A21,Submissions!$C$7:$C$80,M$18)</f>
        <v>0</v>
      </c>
      <c r="N21" s="21">
        <f t="shared" si="4"/>
        <v>55200</v>
      </c>
    </row>
    <row r="22" spans="1:14" x14ac:dyDescent="0.25">
      <c r="A22" s="44" t="str">
        <f>Assumptions!B17</f>
        <v>Sales &amp; Marketing</v>
      </c>
      <c r="B22" s="43">
        <f>SUMIFS(Submissions!$L$7:$L$80,Submissions!$B$7:$B$80,$A22,Submissions!$C$7:$C$80,B$18)</f>
        <v>0</v>
      </c>
      <c r="C22" s="43">
        <f>SUMIFS(Submissions!$L$7:$L$80,Submissions!$B$7:$B$80,$A22,Submissions!$C$7:$C$80,C$18)</f>
        <v>0</v>
      </c>
      <c r="D22" s="43">
        <f>SUMIFS(Submissions!$L$7:$L$80,Submissions!$B$7:$B$80,$A22,Submissions!$C$7:$C$80,D$18)</f>
        <v>0</v>
      </c>
      <c r="E22" s="43">
        <f>SUMIFS(Submissions!$L$7:$L$80,Submissions!$B$7:$B$80,$A22,Submissions!$C$7:$C$80,E$18)</f>
        <v>0</v>
      </c>
      <c r="F22" s="43">
        <f>SUMIFS(Submissions!$L$7:$L$80,Submissions!$B$7:$B$80,$A22,Submissions!$C$7:$C$80,F$18)</f>
        <v>0</v>
      </c>
      <c r="G22" s="43">
        <f>SUMIFS(Submissions!$L$7:$L$80,Submissions!$B$7:$B$80,$A22,Submissions!$C$7:$C$80,G$18)</f>
        <v>18000</v>
      </c>
      <c r="H22" s="43">
        <f>SUMIFS(Submissions!$L$7:$L$80,Submissions!$B$7:$B$80,$A22,Submissions!$C$7:$C$80,H$18)</f>
        <v>27500.000000000004</v>
      </c>
      <c r="I22" s="43">
        <f>SUMIFS(Submissions!$L$7:$L$80,Submissions!$B$7:$B$80,$A22,Submissions!$C$7:$C$80,I$18)</f>
        <v>0</v>
      </c>
      <c r="J22" s="43">
        <f>SUMIFS(Submissions!$L$7:$L$80,Submissions!$B$7:$B$80,$A22,Submissions!$C$7:$C$80,J$18)</f>
        <v>0</v>
      </c>
      <c r="K22" s="43">
        <f>SUMIFS(Submissions!$L$7:$L$80,Submissions!$B$7:$B$80,$A22,Submissions!$C$7:$C$80,K$18)</f>
        <v>0</v>
      </c>
      <c r="L22" s="43">
        <f>SUMIFS(Submissions!$L$7:$L$80,Submissions!$B$7:$B$80,$A22,Submissions!$C$7:$C$80,L$18)</f>
        <v>0</v>
      </c>
      <c r="M22" s="43">
        <f>SUMIFS(Submissions!$L$7:$L$80,Submissions!$B$7:$B$80,$A22,Submissions!$C$7:$C$80,M$18)</f>
        <v>0</v>
      </c>
      <c r="N22" s="21">
        <f t="shared" si="4"/>
        <v>45500</v>
      </c>
    </row>
    <row r="23" spans="1:14" x14ac:dyDescent="0.25">
      <c r="A23" s="44" t="str">
        <f>Assumptions!B18</f>
        <v>Technology</v>
      </c>
      <c r="B23" s="43">
        <f>SUMIFS(Submissions!$L$7:$L$80,Submissions!$B$7:$B$80,$A23,Submissions!$C$7:$C$80,B$18)</f>
        <v>0</v>
      </c>
      <c r="C23" s="43">
        <f>SUMIFS(Submissions!$L$7:$L$80,Submissions!$B$7:$B$80,$A23,Submissions!$C$7:$C$80,C$18)</f>
        <v>0</v>
      </c>
      <c r="D23" s="43">
        <f>SUMIFS(Submissions!$L$7:$L$80,Submissions!$B$7:$B$80,$A23,Submissions!$C$7:$C$80,D$18)</f>
        <v>0</v>
      </c>
      <c r="E23" s="43">
        <f>SUMIFS(Submissions!$L$7:$L$80,Submissions!$B$7:$B$80,$A23,Submissions!$C$7:$C$80,E$18)</f>
        <v>0</v>
      </c>
      <c r="F23" s="43">
        <f>SUMIFS(Submissions!$L$7:$L$80,Submissions!$B$7:$B$80,$A23,Submissions!$C$7:$C$80,F$18)</f>
        <v>42000</v>
      </c>
      <c r="G23" s="43">
        <f>SUMIFS(Submissions!$L$7:$L$80,Submissions!$B$7:$B$80,$A23,Submissions!$C$7:$C$80,G$18)</f>
        <v>9900</v>
      </c>
      <c r="H23" s="43">
        <f>SUMIFS(Submissions!$L$7:$L$80,Submissions!$B$7:$B$80,$A23,Submissions!$C$7:$C$80,H$18)</f>
        <v>0</v>
      </c>
      <c r="I23" s="43">
        <f>SUMIFS(Submissions!$L$7:$L$80,Submissions!$B$7:$B$80,$A23,Submissions!$C$7:$C$80,I$18)</f>
        <v>0</v>
      </c>
      <c r="J23" s="43">
        <f>SUMIFS(Submissions!$L$7:$L$80,Submissions!$B$7:$B$80,$A23,Submissions!$C$7:$C$80,J$18)</f>
        <v>0</v>
      </c>
      <c r="K23" s="43">
        <f>SUMIFS(Submissions!$L$7:$L$80,Submissions!$B$7:$B$80,$A23,Submissions!$C$7:$C$80,K$18)</f>
        <v>0</v>
      </c>
      <c r="L23" s="43">
        <f>SUMIFS(Submissions!$L$7:$L$80,Submissions!$B$7:$B$80,$A23,Submissions!$C$7:$C$80,L$18)</f>
        <v>0</v>
      </c>
      <c r="M23" s="43">
        <f>SUMIFS(Submissions!$L$7:$L$80,Submissions!$B$7:$B$80,$A23,Submissions!$C$7:$C$80,M$18)</f>
        <v>24200.000000000004</v>
      </c>
      <c r="N23" s="21">
        <f t="shared" si="4"/>
        <v>76100</v>
      </c>
    </row>
    <row r="24" spans="1:14" x14ac:dyDescent="0.25">
      <c r="A24" s="44" t="str">
        <f>Assumptions!B19</f>
        <v>HR &amp; GA</v>
      </c>
      <c r="B24" s="43">
        <f>SUMIFS(Submissions!$L$7:$L$80,Submissions!$B$7:$B$80,$A24,Submissions!$C$7:$C$80,B$18)</f>
        <v>0</v>
      </c>
      <c r="C24" s="43">
        <f>SUMIFS(Submissions!$L$7:$L$80,Submissions!$B$7:$B$80,$A24,Submissions!$C$7:$C$80,C$18)</f>
        <v>0</v>
      </c>
      <c r="D24" s="43">
        <f>SUMIFS(Submissions!$L$7:$L$80,Submissions!$B$7:$B$80,$A24,Submissions!$C$7:$C$80,D$18)</f>
        <v>81080</v>
      </c>
      <c r="E24" s="43">
        <f>SUMIFS(Submissions!$L$7:$L$80,Submissions!$B$7:$B$80,$A24,Submissions!$C$7:$C$80,E$18)</f>
        <v>0</v>
      </c>
      <c r="F24" s="43">
        <f>SUMIFS(Submissions!$L$7:$L$80,Submissions!$B$7:$B$80,$A24,Submissions!$C$7:$C$80,F$18)</f>
        <v>0</v>
      </c>
      <c r="G24" s="43">
        <f>SUMIFS(Submissions!$L$7:$L$80,Submissions!$B$7:$B$80,$A24,Submissions!$C$7:$C$80,G$18)</f>
        <v>0</v>
      </c>
      <c r="H24" s="43">
        <f>SUMIFS(Submissions!$L$7:$L$80,Submissions!$B$7:$B$80,$A24,Submissions!$C$7:$C$80,H$18)</f>
        <v>0</v>
      </c>
      <c r="I24" s="43">
        <f>SUMIFS(Submissions!$L$7:$L$80,Submissions!$B$7:$B$80,$A24,Submissions!$C$7:$C$80,I$18)</f>
        <v>0</v>
      </c>
      <c r="J24" s="43">
        <f>SUMIFS(Submissions!$L$7:$L$80,Submissions!$B$7:$B$80,$A24,Submissions!$C$7:$C$80,J$18)</f>
        <v>0</v>
      </c>
      <c r="K24" s="43">
        <f>SUMIFS(Submissions!$L$7:$L$80,Submissions!$B$7:$B$80,$A24,Submissions!$C$7:$C$80,K$18)</f>
        <v>19200</v>
      </c>
      <c r="L24" s="43">
        <f>SUMIFS(Submissions!$L$7:$L$80,Submissions!$B$7:$B$80,$A24,Submissions!$C$7:$C$80,L$18)</f>
        <v>0</v>
      </c>
      <c r="M24" s="43">
        <f>SUMIFS(Submissions!$L$7:$L$80,Submissions!$B$7:$B$80,$A24,Submissions!$C$7:$C$80,M$18)</f>
        <v>0</v>
      </c>
      <c r="N24" s="21">
        <f t="shared" si="4"/>
        <v>100280</v>
      </c>
    </row>
    <row r="25" spans="1:14" x14ac:dyDescent="0.25">
      <c r="A25" s="44" t="str">
        <f>Assumptions!B20</f>
        <v>Finance</v>
      </c>
      <c r="B25" s="43">
        <f>SUMIFS(Submissions!$L$7:$L$80,Submissions!$B$7:$B$80,$A25,Submissions!$C$7:$C$80,B$18)</f>
        <v>0</v>
      </c>
      <c r="C25" s="43">
        <f>SUMIFS(Submissions!$L$7:$L$80,Submissions!$B$7:$B$80,$A25,Submissions!$C$7:$C$80,C$18)</f>
        <v>0</v>
      </c>
      <c r="D25" s="43">
        <f>SUMIFS(Submissions!$L$7:$L$80,Submissions!$B$7:$B$80,$A25,Submissions!$C$7:$C$80,D$18)</f>
        <v>0</v>
      </c>
      <c r="E25" s="43">
        <f>SUMIFS(Submissions!$L$7:$L$80,Submissions!$B$7:$B$80,$A25,Submissions!$C$7:$C$80,E$18)</f>
        <v>0</v>
      </c>
      <c r="F25" s="43">
        <f>SUMIFS(Submissions!$L$7:$L$80,Submissions!$B$7:$B$80,$A25,Submissions!$C$7:$C$80,F$18)</f>
        <v>0</v>
      </c>
      <c r="G25" s="43">
        <f>SUMIFS(Submissions!$L$7:$L$80,Submissions!$B$7:$B$80,$A25,Submissions!$C$7:$C$80,G$18)</f>
        <v>0</v>
      </c>
      <c r="H25" s="43">
        <f>SUMIFS(Submissions!$L$7:$L$80,Submissions!$B$7:$B$80,$A25,Submissions!$C$7:$C$80,H$18)</f>
        <v>0</v>
      </c>
      <c r="I25" s="43">
        <f>SUMIFS(Submissions!$L$7:$L$80,Submissions!$B$7:$B$80,$A25,Submissions!$C$7:$C$80,I$18)</f>
        <v>0</v>
      </c>
      <c r="J25" s="43">
        <f>SUMIFS(Submissions!$L$7:$L$80,Submissions!$B$7:$B$80,$A25,Submissions!$C$7:$C$80,J$18)</f>
        <v>0</v>
      </c>
      <c r="K25" s="43">
        <f>SUMIFS(Submissions!$L$7:$L$80,Submissions!$B$7:$B$80,$A25,Submissions!$C$7:$C$80,K$18)</f>
        <v>6000</v>
      </c>
      <c r="L25" s="43">
        <f>SUMIFS(Submissions!$L$7:$L$80,Submissions!$B$7:$B$80,$A25,Submissions!$C$7:$C$80,L$18)</f>
        <v>4500</v>
      </c>
      <c r="M25" s="43">
        <f>SUMIFS(Submissions!$L$7:$L$80,Submissions!$B$7:$B$80,$A25,Submissions!$C$7:$C$80,M$18)</f>
        <v>0</v>
      </c>
      <c r="N25" s="21">
        <f t="shared" si="4"/>
        <v>10500</v>
      </c>
    </row>
    <row r="26" spans="1:14" x14ac:dyDescent="0.25">
      <c r="A26" s="44" t="str">
        <f>Assumptions!B21</f>
        <v>Legal &amp; Corsec</v>
      </c>
      <c r="B26" s="43">
        <f>SUMIFS(Submissions!$L$7:$L$80,Submissions!$B$7:$B$80,$A26,Submissions!$C$7:$C$80,B$18)</f>
        <v>0</v>
      </c>
      <c r="C26" s="43">
        <f>SUMIFS(Submissions!$L$7:$L$80,Submissions!$B$7:$B$80,$A26,Submissions!$C$7:$C$80,C$18)</f>
        <v>0</v>
      </c>
      <c r="D26" s="43">
        <f>SUMIFS(Submissions!$L$7:$L$80,Submissions!$B$7:$B$80,$A26,Submissions!$C$7:$C$80,D$18)</f>
        <v>0</v>
      </c>
      <c r="E26" s="43">
        <f>SUMIFS(Submissions!$L$7:$L$80,Submissions!$B$7:$B$80,$A26,Submissions!$C$7:$C$80,E$18)</f>
        <v>0</v>
      </c>
      <c r="F26" s="43">
        <f>SUMIFS(Submissions!$L$7:$L$80,Submissions!$B$7:$B$80,$A26,Submissions!$C$7:$C$80,F$18)</f>
        <v>0</v>
      </c>
      <c r="G26" s="43">
        <f>SUMIFS(Submissions!$L$7:$L$80,Submissions!$B$7:$B$80,$A26,Submissions!$C$7:$C$80,G$18)</f>
        <v>5300</v>
      </c>
      <c r="H26" s="43">
        <f>SUMIFS(Submissions!$L$7:$L$80,Submissions!$B$7:$B$80,$A26,Submissions!$C$7:$C$80,H$18)</f>
        <v>0</v>
      </c>
      <c r="I26" s="43">
        <f>SUMIFS(Submissions!$L$7:$L$80,Submissions!$B$7:$B$80,$A26,Submissions!$C$7:$C$80,I$18)</f>
        <v>0</v>
      </c>
      <c r="J26" s="43">
        <f>SUMIFS(Submissions!$L$7:$L$80,Submissions!$B$7:$B$80,$A26,Submissions!$C$7:$C$80,J$18)</f>
        <v>0</v>
      </c>
      <c r="K26" s="43">
        <f>SUMIFS(Submissions!$L$7:$L$80,Submissions!$B$7:$B$80,$A26,Submissions!$C$7:$C$80,K$18)</f>
        <v>0</v>
      </c>
      <c r="L26" s="43">
        <f>SUMIFS(Submissions!$L$7:$L$80,Submissions!$B$7:$B$80,$A26,Submissions!$C$7:$C$80,L$18)</f>
        <v>4800</v>
      </c>
      <c r="M26" s="43">
        <f>SUMIFS(Submissions!$L$7:$L$80,Submissions!$B$7:$B$80,$A26,Submissions!$C$7:$C$80,M$18)</f>
        <v>0</v>
      </c>
      <c r="N26" s="21">
        <f t="shared" si="4"/>
        <v>10100</v>
      </c>
    </row>
    <row r="27" spans="1:14" x14ac:dyDescent="0.25">
      <c r="A27" s="13" t="s">
        <v>133</v>
      </c>
      <c r="B27" s="23">
        <f t="shared" ref="B27:N27" si="5">SUM(B19:B26)</f>
        <v>240940</v>
      </c>
      <c r="C27" s="23">
        <f t="shared" si="5"/>
        <v>18700</v>
      </c>
      <c r="D27" s="23">
        <f t="shared" si="5"/>
        <v>135080</v>
      </c>
      <c r="E27" s="23">
        <f t="shared" si="5"/>
        <v>34800</v>
      </c>
      <c r="F27" s="23">
        <f t="shared" si="5"/>
        <v>75600</v>
      </c>
      <c r="G27" s="23">
        <f t="shared" si="5"/>
        <v>39700</v>
      </c>
      <c r="H27" s="23">
        <f t="shared" si="5"/>
        <v>27500.000000000004</v>
      </c>
      <c r="I27" s="23">
        <f t="shared" si="5"/>
        <v>0</v>
      </c>
      <c r="J27" s="23">
        <f t="shared" si="5"/>
        <v>8400</v>
      </c>
      <c r="K27" s="23">
        <f t="shared" si="5"/>
        <v>25200</v>
      </c>
      <c r="L27" s="23">
        <f t="shared" si="5"/>
        <v>9300</v>
      </c>
      <c r="M27" s="23">
        <f t="shared" si="5"/>
        <v>24200.000000000004</v>
      </c>
      <c r="N27" s="23">
        <f t="shared" si="5"/>
        <v>639420</v>
      </c>
    </row>
  </sheetData>
  <pageMargins left="0.75" right="0.75" top="1" bottom="1" header="0.5" footer="0.5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CA3AF"/>
    <pageSetUpPr fitToPage="1"/>
  </sheetPr>
  <dimension ref="A1:N1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2" customWidth="1"/>
    <col min="2" max="13" width="10" customWidth="1"/>
    <col min="14" max="14" width="12" customWidth="1"/>
  </cols>
  <sheetData>
    <row r="1" spans="1:14" ht="20.25" x14ac:dyDescent="0.3">
      <c r="A1" s="28" t="s">
        <v>207</v>
      </c>
    </row>
    <row r="2" spans="1:14" x14ac:dyDescent="0.25">
      <c r="A2" s="29" t="s">
        <v>208</v>
      </c>
    </row>
    <row r="4" spans="1:14" x14ac:dyDescent="0.25">
      <c r="A4" s="45" t="s">
        <v>75</v>
      </c>
      <c r="B4" s="46">
        <v>1</v>
      </c>
      <c r="C4" s="46">
        <v>2</v>
      </c>
      <c r="D4" s="46">
        <v>3</v>
      </c>
      <c r="E4" s="46">
        <v>4</v>
      </c>
      <c r="F4" s="46">
        <v>5</v>
      </c>
      <c r="G4" s="46">
        <v>6</v>
      </c>
      <c r="H4" s="46">
        <v>7</v>
      </c>
      <c r="I4" s="46">
        <v>8</v>
      </c>
      <c r="J4" s="46">
        <v>9</v>
      </c>
      <c r="K4" s="46">
        <v>10</v>
      </c>
      <c r="L4" s="46">
        <v>11</v>
      </c>
      <c r="M4" s="46">
        <v>12</v>
      </c>
    </row>
    <row r="5" spans="1:14" ht="21.95" customHeight="1" x14ac:dyDescent="0.25">
      <c r="A5" s="19" t="s">
        <v>9</v>
      </c>
      <c r="B5" s="19" t="str">
        <f>Assumptions!C29</f>
        <v>Jan</v>
      </c>
      <c r="C5" s="19" t="str">
        <f>Assumptions!D29</f>
        <v>Feb</v>
      </c>
      <c r="D5" s="19" t="str">
        <f>Assumptions!E29</f>
        <v>Mar</v>
      </c>
      <c r="E5" s="19" t="str">
        <f>Assumptions!F29</f>
        <v>Apr</v>
      </c>
      <c r="F5" s="19" t="str">
        <f>Assumptions!G29</f>
        <v>May</v>
      </c>
      <c r="G5" s="19" t="str">
        <f>Assumptions!H29</f>
        <v>Jun</v>
      </c>
      <c r="H5" s="19" t="str">
        <f>Assumptions!I29</f>
        <v>Jul</v>
      </c>
      <c r="I5" s="19" t="str">
        <f>Assumptions!J29</f>
        <v>Aug</v>
      </c>
      <c r="J5" s="19" t="str">
        <f>Assumptions!K29</f>
        <v>Sep</v>
      </c>
      <c r="K5" s="19" t="str">
        <f>Assumptions!L29</f>
        <v>Oct</v>
      </c>
      <c r="L5" s="19" t="str">
        <f>Assumptions!M29</f>
        <v>Nov</v>
      </c>
      <c r="M5" s="19" t="str">
        <f>Assumptions!N29</f>
        <v>Dec</v>
      </c>
      <c r="N5" s="19" t="s">
        <v>76</v>
      </c>
    </row>
    <row r="6" spans="1:14" x14ac:dyDescent="0.25">
      <c r="A6" s="44" t="str">
        <f>Assumptions!B14</f>
        <v>Programming</v>
      </c>
      <c r="B6" s="38">
        <v>18905</v>
      </c>
      <c r="C6" s="38">
        <v>18097</v>
      </c>
      <c r="D6" s="38">
        <v>20687</v>
      </c>
      <c r="E6" s="38">
        <v>21357</v>
      </c>
      <c r="F6" s="38">
        <v>20435</v>
      </c>
      <c r="G6" s="38">
        <v>21655</v>
      </c>
      <c r="H6" s="38">
        <v>24339</v>
      </c>
      <c r="I6" s="38">
        <v>22961</v>
      </c>
      <c r="J6" s="38">
        <v>24185</v>
      </c>
      <c r="K6" s="38"/>
      <c r="L6" s="38"/>
      <c r="M6" s="38"/>
      <c r="N6" s="21">
        <f t="shared" ref="N6:N13" si="0">SUM(B6:M6)</f>
        <v>192621</v>
      </c>
    </row>
    <row r="7" spans="1:14" x14ac:dyDescent="0.25">
      <c r="A7" s="44" t="str">
        <f>Assumptions!B15</f>
        <v>News</v>
      </c>
      <c r="B7" s="38">
        <v>5576</v>
      </c>
      <c r="C7" s="38">
        <v>5635</v>
      </c>
      <c r="D7" s="38">
        <v>6602</v>
      </c>
      <c r="E7" s="38">
        <v>6619</v>
      </c>
      <c r="F7" s="38">
        <v>6325</v>
      </c>
      <c r="G7" s="38">
        <v>6546</v>
      </c>
      <c r="H7" s="38">
        <v>7331</v>
      </c>
      <c r="I7" s="38">
        <v>7438</v>
      </c>
      <c r="J7" s="38">
        <v>6897</v>
      </c>
      <c r="K7" s="38"/>
      <c r="L7" s="38"/>
      <c r="M7" s="38"/>
      <c r="N7" s="21">
        <f t="shared" si="0"/>
        <v>58969</v>
      </c>
    </row>
    <row r="8" spans="1:14" x14ac:dyDescent="0.25">
      <c r="A8" s="44" t="str">
        <f>Assumptions!B16</f>
        <v>Production Support</v>
      </c>
      <c r="B8" s="38">
        <v>3879</v>
      </c>
      <c r="C8" s="38">
        <v>3665</v>
      </c>
      <c r="D8" s="38">
        <v>4157</v>
      </c>
      <c r="E8" s="38">
        <v>4317</v>
      </c>
      <c r="F8" s="38">
        <v>4400</v>
      </c>
      <c r="G8" s="38">
        <v>4440</v>
      </c>
      <c r="H8" s="38">
        <v>4767</v>
      </c>
      <c r="I8" s="38">
        <v>4945</v>
      </c>
      <c r="J8" s="38">
        <v>4638</v>
      </c>
      <c r="K8" s="38"/>
      <c r="L8" s="38"/>
      <c r="M8" s="38"/>
      <c r="N8" s="21">
        <f t="shared" si="0"/>
        <v>39208</v>
      </c>
    </row>
    <row r="9" spans="1:14" x14ac:dyDescent="0.25">
      <c r="A9" s="44" t="str">
        <f>Assumptions!B17</f>
        <v>Sales &amp; Marketing</v>
      </c>
      <c r="B9" s="38">
        <v>3701</v>
      </c>
      <c r="C9" s="38">
        <v>3508</v>
      </c>
      <c r="D9" s="38">
        <v>4091</v>
      </c>
      <c r="E9" s="38">
        <v>3954</v>
      </c>
      <c r="F9" s="38">
        <v>3928</v>
      </c>
      <c r="G9" s="38">
        <v>3916</v>
      </c>
      <c r="H9" s="38">
        <v>4623</v>
      </c>
      <c r="I9" s="38">
        <v>4609</v>
      </c>
      <c r="J9" s="38">
        <v>4702</v>
      </c>
      <c r="K9" s="38"/>
      <c r="L9" s="38"/>
      <c r="M9" s="38"/>
      <c r="N9" s="21">
        <f t="shared" si="0"/>
        <v>37032</v>
      </c>
    </row>
    <row r="10" spans="1:14" x14ac:dyDescent="0.25">
      <c r="A10" s="44" t="str">
        <f>Assumptions!B18</f>
        <v>Technology</v>
      </c>
      <c r="B10" s="38">
        <v>5860</v>
      </c>
      <c r="C10" s="38">
        <v>5665</v>
      </c>
      <c r="D10" s="38">
        <v>6695</v>
      </c>
      <c r="E10" s="38">
        <v>6358</v>
      </c>
      <c r="F10" s="38">
        <v>6713</v>
      </c>
      <c r="G10" s="38">
        <v>6384</v>
      </c>
      <c r="H10" s="38">
        <v>7586</v>
      </c>
      <c r="I10" s="38">
        <v>7261</v>
      </c>
      <c r="J10" s="38">
        <v>7286</v>
      </c>
      <c r="K10" s="38"/>
      <c r="L10" s="38"/>
      <c r="M10" s="38"/>
      <c r="N10" s="21">
        <f t="shared" si="0"/>
        <v>59808</v>
      </c>
    </row>
    <row r="11" spans="1:14" x14ac:dyDescent="0.25">
      <c r="A11" s="44" t="str">
        <f>Assumptions!B19</f>
        <v>HR &amp; GA</v>
      </c>
      <c r="B11" s="38">
        <v>6819</v>
      </c>
      <c r="C11" s="38">
        <v>6569</v>
      </c>
      <c r="D11" s="38">
        <v>7517</v>
      </c>
      <c r="E11" s="38">
        <v>7810</v>
      </c>
      <c r="F11" s="38">
        <v>7915</v>
      </c>
      <c r="G11" s="38">
        <v>7498</v>
      </c>
      <c r="H11" s="38">
        <v>8689</v>
      </c>
      <c r="I11" s="38">
        <v>8663</v>
      </c>
      <c r="J11" s="38">
        <v>8951</v>
      </c>
      <c r="K11" s="38"/>
      <c r="L11" s="38"/>
      <c r="M11" s="38"/>
      <c r="N11" s="21">
        <f t="shared" si="0"/>
        <v>70431</v>
      </c>
    </row>
    <row r="12" spans="1:14" x14ac:dyDescent="0.25">
      <c r="A12" s="44" t="str">
        <f>Assumptions!B20</f>
        <v>Finance</v>
      </c>
      <c r="B12" s="38">
        <v>741</v>
      </c>
      <c r="C12" s="38">
        <v>690</v>
      </c>
      <c r="D12" s="38">
        <v>818</v>
      </c>
      <c r="E12" s="38">
        <v>789</v>
      </c>
      <c r="F12" s="38">
        <v>833</v>
      </c>
      <c r="G12" s="38">
        <v>844</v>
      </c>
      <c r="H12" s="38">
        <v>932</v>
      </c>
      <c r="I12" s="38">
        <v>923</v>
      </c>
      <c r="J12" s="38">
        <v>883</v>
      </c>
      <c r="K12" s="38"/>
      <c r="L12" s="38"/>
      <c r="M12" s="38"/>
      <c r="N12" s="21">
        <f t="shared" si="0"/>
        <v>7453</v>
      </c>
    </row>
    <row r="13" spans="1:14" x14ac:dyDescent="0.25">
      <c r="A13" s="44" t="str">
        <f>Assumptions!B21</f>
        <v>Legal &amp; Corsec</v>
      </c>
      <c r="B13" s="38">
        <v>664</v>
      </c>
      <c r="C13" s="38">
        <v>672</v>
      </c>
      <c r="D13" s="38">
        <v>758</v>
      </c>
      <c r="E13" s="38">
        <v>761</v>
      </c>
      <c r="F13" s="38">
        <v>813</v>
      </c>
      <c r="G13" s="38">
        <v>774</v>
      </c>
      <c r="H13" s="38">
        <v>910</v>
      </c>
      <c r="I13" s="38">
        <v>900</v>
      </c>
      <c r="J13" s="38">
        <v>901</v>
      </c>
      <c r="K13" s="38"/>
      <c r="L13" s="38"/>
      <c r="M13" s="38"/>
      <c r="N13" s="21">
        <f t="shared" si="0"/>
        <v>7153</v>
      </c>
    </row>
    <row r="14" spans="1:14" x14ac:dyDescent="0.25">
      <c r="A14" s="13" t="s">
        <v>209</v>
      </c>
      <c r="B14" s="23">
        <f t="shared" ref="B14:N14" si="1">SUM(B6:B13)</f>
        <v>46145</v>
      </c>
      <c r="C14" s="23">
        <f t="shared" si="1"/>
        <v>44501</v>
      </c>
      <c r="D14" s="23">
        <f t="shared" si="1"/>
        <v>51325</v>
      </c>
      <c r="E14" s="23">
        <f t="shared" si="1"/>
        <v>51965</v>
      </c>
      <c r="F14" s="23">
        <f t="shared" si="1"/>
        <v>51362</v>
      </c>
      <c r="G14" s="23">
        <f t="shared" si="1"/>
        <v>52057</v>
      </c>
      <c r="H14" s="23">
        <f t="shared" si="1"/>
        <v>59177</v>
      </c>
      <c r="I14" s="23">
        <f t="shared" si="1"/>
        <v>57700</v>
      </c>
      <c r="J14" s="23">
        <f t="shared" si="1"/>
        <v>58443</v>
      </c>
      <c r="K14" s="23">
        <f t="shared" si="1"/>
        <v>0</v>
      </c>
      <c r="L14" s="23">
        <f t="shared" si="1"/>
        <v>0</v>
      </c>
      <c r="M14" s="23">
        <f t="shared" si="1"/>
        <v>0</v>
      </c>
      <c r="N14" s="23">
        <f t="shared" si="1"/>
        <v>472675</v>
      </c>
    </row>
    <row r="16" spans="1:14" x14ac:dyDescent="0.25">
      <c r="A16" s="13" t="s">
        <v>210</v>
      </c>
      <c r="B16" s="38">
        <v>57290</v>
      </c>
      <c r="C16" s="38">
        <v>56327</v>
      </c>
      <c r="D16" s="38">
        <v>62580</v>
      </c>
      <c r="E16" s="38">
        <v>71105</v>
      </c>
      <c r="F16" s="38">
        <v>62797</v>
      </c>
      <c r="G16" s="38">
        <v>60965</v>
      </c>
      <c r="H16" s="38">
        <v>61026</v>
      </c>
      <c r="I16" s="38">
        <v>63706</v>
      </c>
      <c r="J16" s="38">
        <v>71411</v>
      </c>
      <c r="K16" s="38"/>
      <c r="L16" s="38"/>
      <c r="M16" s="38"/>
      <c r="N16" s="21">
        <f>SUM(B16:M16)</f>
        <v>567207</v>
      </c>
    </row>
    <row r="18" spans="1:1" x14ac:dyDescent="0.25">
      <c r="A18" s="29" t="s">
        <v>211</v>
      </c>
    </row>
  </sheetData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3A5F"/>
    <pageSetUpPr fitToPage="1"/>
  </sheetPr>
  <dimension ref="A1:O47"/>
  <sheetViews>
    <sheetView showGridLines="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5" width="13" customWidth="1"/>
    <col min="6" max="6" width="12" customWidth="1"/>
    <col min="7" max="9" width="13" customWidth="1"/>
    <col min="10" max="10" width="11" customWidth="1"/>
    <col min="11" max="11" width="12" customWidth="1"/>
    <col min="12" max="12" width="13" customWidth="1"/>
    <col min="13" max="13" width="14" customWidth="1"/>
    <col min="14" max="14" width="15" customWidth="1"/>
    <col min="15" max="15" width="66" customWidth="1"/>
  </cols>
  <sheetData>
    <row r="1" spans="1:15" ht="20.25" x14ac:dyDescent="0.3">
      <c r="A1" s="28" t="s">
        <v>212</v>
      </c>
    </row>
    <row r="2" spans="1:15" x14ac:dyDescent="0.25">
      <c r="A2" s="29" t="s">
        <v>213</v>
      </c>
    </row>
    <row r="4" spans="1:15" x14ac:dyDescent="0.25">
      <c r="A4" s="13" t="s">
        <v>214</v>
      </c>
      <c r="B4" s="26"/>
      <c r="C4" s="47">
        <f>Dashboard!C4</f>
        <v>9</v>
      </c>
    </row>
    <row r="5" spans="1:15" x14ac:dyDescent="0.25">
      <c r="A5" s="13" t="s">
        <v>215</v>
      </c>
      <c r="B5" s="26"/>
      <c r="C5" s="15" t="str">
        <f>INDEX(Assumptions!$C$29:$N$29,$C$4)&amp;" "&amp;Assumptions!$C$4</f>
        <v>Sep 2026</v>
      </c>
    </row>
    <row r="8" spans="1:15" ht="39.950000000000003" customHeight="1" x14ac:dyDescent="0.25">
      <c r="A8" s="19" t="s">
        <v>9</v>
      </c>
      <c r="B8" s="19" t="s">
        <v>216</v>
      </c>
      <c r="C8" s="19" t="s">
        <v>217</v>
      </c>
      <c r="D8" s="19" t="s">
        <v>218</v>
      </c>
      <c r="E8" s="19" t="s">
        <v>219</v>
      </c>
      <c r="F8" s="19" t="s">
        <v>13</v>
      </c>
      <c r="G8" s="19" t="s">
        <v>10</v>
      </c>
      <c r="H8" s="19" t="s">
        <v>11</v>
      </c>
      <c r="I8" s="19" t="s">
        <v>12</v>
      </c>
      <c r="J8" s="19" t="s">
        <v>220</v>
      </c>
      <c r="K8" s="19" t="s">
        <v>221</v>
      </c>
      <c r="L8" s="19" t="s">
        <v>222</v>
      </c>
      <c r="M8" s="19" t="s">
        <v>223</v>
      </c>
      <c r="N8" s="19" t="s">
        <v>14</v>
      </c>
      <c r="O8" s="19" t="s">
        <v>224</v>
      </c>
    </row>
    <row r="9" spans="1:15" x14ac:dyDescent="0.25">
      <c r="A9" s="44" t="str">
        <f>Assumptions!B14</f>
        <v>Programming</v>
      </c>
      <c r="B9" s="43">
        <f>Consolidation!C6</f>
        <v>259640</v>
      </c>
      <c r="C9" s="43">
        <f>B9*INDEX(Assumptions!$C$30:$N$30,$C$4)</f>
        <v>23367.599999999999</v>
      </c>
      <c r="D9" s="43">
        <f>INDEX(Actuals!$B6:$M6,$C$4)</f>
        <v>24185</v>
      </c>
      <c r="E9" s="21">
        <f t="shared" ref="E9:E16" si="0">C9-D9</f>
        <v>-817.40000000000146</v>
      </c>
      <c r="F9" s="22">
        <f t="shared" ref="F9:F17" si="1">IFERROR(E9/C9,0)</f>
        <v>-3.4980057857888762E-2</v>
      </c>
      <c r="G9" s="43">
        <f>B9*SUMPRODUCT((Assumptions!$C$28:$N$28&lt;=$C$4)*Assumptions!$C$30:$N$30)</f>
        <v>189537.19999999998</v>
      </c>
      <c r="H9" s="43">
        <f>SUMPRODUCT((Actuals!$B$4:$M$4&lt;=$C$4)*Actuals!$B6:$M6)</f>
        <v>192621</v>
      </c>
      <c r="I9" s="21">
        <f t="shared" ref="I9:I16" si="2">G9-H9</f>
        <v>-3083.8000000000175</v>
      </c>
      <c r="J9" s="22">
        <f t="shared" ref="J9:J17" si="3">IFERROR(I9/G9,0)</f>
        <v>-1.627015699292813E-2</v>
      </c>
      <c r="K9" s="22">
        <f t="shared" ref="K9:K17" si="4">IFERROR(H9/B9,0)</f>
        <v>0.74187721460483746</v>
      </c>
      <c r="L9" s="21">
        <f t="shared" ref="L9:L16" si="5">H9+(B9-G9)</f>
        <v>262723.80000000005</v>
      </c>
      <c r="M9" s="21">
        <f t="shared" ref="M9:M16" si="6">B9-L9</f>
        <v>-3083.8000000000466</v>
      </c>
      <c r="N9" s="15" t="str">
        <f>IF(AND(J9&lt;-Assumptions!$C$7,ABS(I9)&gt;=Assumptions!$C$8),"OVER BUDGET",IF(I9&lt;0,"WATCH","ON TRACK"))</f>
        <v>WATCH</v>
      </c>
      <c r="O9" s="35" t="s">
        <v>225</v>
      </c>
    </row>
    <row r="10" spans="1:15" x14ac:dyDescent="0.25">
      <c r="A10" s="44" t="str">
        <f>Assumptions!B15</f>
        <v>News</v>
      </c>
      <c r="B10" s="43">
        <f>Consolidation!C7</f>
        <v>82100</v>
      </c>
      <c r="C10" s="43">
        <f>B10*INDEX(Assumptions!$C$30:$N$30,$C$4)</f>
        <v>7389</v>
      </c>
      <c r="D10" s="43">
        <f>INDEX(Actuals!$B7:$M7,$C$4)</f>
        <v>6897</v>
      </c>
      <c r="E10" s="21">
        <f t="shared" si="0"/>
        <v>492</v>
      </c>
      <c r="F10" s="22">
        <f t="shared" si="1"/>
        <v>6.658546488022736E-2</v>
      </c>
      <c r="G10" s="43">
        <f>B10*SUMPRODUCT((Assumptions!$C$28:$N$28&lt;=$C$4)*Assumptions!$C$30:$N$30)</f>
        <v>59933</v>
      </c>
      <c r="H10" s="43">
        <f>SUMPRODUCT((Actuals!$B$4:$M$4&lt;=$C$4)*Actuals!$B7:$M7)</f>
        <v>58969</v>
      </c>
      <c r="I10" s="21">
        <f t="shared" si="2"/>
        <v>964</v>
      </c>
      <c r="J10" s="22">
        <f t="shared" si="3"/>
        <v>1.6084627834415097E-2</v>
      </c>
      <c r="K10" s="22">
        <f t="shared" si="4"/>
        <v>0.71825822168087694</v>
      </c>
      <c r="L10" s="21">
        <f t="shared" si="5"/>
        <v>81136</v>
      </c>
      <c r="M10" s="21">
        <f t="shared" si="6"/>
        <v>964</v>
      </c>
      <c r="N10" s="15" t="str">
        <f>IF(AND(J10&lt;-Assumptions!$C$7,ABS(I10)&gt;=Assumptions!$C$8),"OVER BUDGET",IF(I10&lt;0,"WATCH","ON TRACK"))</f>
        <v>ON TRACK</v>
      </c>
      <c r="O10" s="35"/>
    </row>
    <row r="11" spans="1:15" x14ac:dyDescent="0.25">
      <c r="A11" s="44" t="str">
        <f>Assumptions!B16</f>
        <v>Production Support</v>
      </c>
      <c r="B11" s="43">
        <f>Consolidation!C8</f>
        <v>55200</v>
      </c>
      <c r="C11" s="43">
        <f>B11*INDEX(Assumptions!$C$30:$N$30,$C$4)</f>
        <v>4968</v>
      </c>
      <c r="D11" s="43">
        <f>INDEX(Actuals!$B8:$M8,$C$4)</f>
        <v>4638</v>
      </c>
      <c r="E11" s="21">
        <f t="shared" si="0"/>
        <v>330</v>
      </c>
      <c r="F11" s="22">
        <f t="shared" si="1"/>
        <v>6.6425120772946863E-2</v>
      </c>
      <c r="G11" s="43">
        <f>B11*SUMPRODUCT((Assumptions!$C$28:$N$28&lt;=$C$4)*Assumptions!$C$30:$N$30)</f>
        <v>40296</v>
      </c>
      <c r="H11" s="43">
        <f>SUMPRODUCT((Actuals!$B$4:$M$4&lt;=$C$4)*Actuals!$B8:$M8)</f>
        <v>39208</v>
      </c>
      <c r="I11" s="21">
        <f t="shared" si="2"/>
        <v>1088</v>
      </c>
      <c r="J11" s="22">
        <f t="shared" si="3"/>
        <v>2.7000198530871551E-2</v>
      </c>
      <c r="K11" s="22">
        <f t="shared" si="4"/>
        <v>0.71028985507246378</v>
      </c>
      <c r="L11" s="21">
        <f t="shared" si="5"/>
        <v>54112</v>
      </c>
      <c r="M11" s="21">
        <f t="shared" si="6"/>
        <v>1088</v>
      </c>
      <c r="N11" s="15" t="str">
        <f>IF(AND(J11&lt;-Assumptions!$C$7,ABS(I11)&gt;=Assumptions!$C$8),"OVER BUDGET",IF(I11&lt;0,"WATCH","ON TRACK"))</f>
        <v>ON TRACK</v>
      </c>
      <c r="O11" s="35"/>
    </row>
    <row r="12" spans="1:15" x14ac:dyDescent="0.25">
      <c r="A12" s="44" t="str">
        <f>Assumptions!B17</f>
        <v>Sales &amp; Marketing</v>
      </c>
      <c r="B12" s="43">
        <f>Consolidation!C9</f>
        <v>45500</v>
      </c>
      <c r="C12" s="43">
        <f>B12*INDEX(Assumptions!$C$30:$N$30,$C$4)</f>
        <v>4095</v>
      </c>
      <c r="D12" s="43">
        <f>INDEX(Actuals!$B9:$M9,$C$4)</f>
        <v>4702</v>
      </c>
      <c r="E12" s="21">
        <f t="shared" si="0"/>
        <v>-607</v>
      </c>
      <c r="F12" s="22">
        <f t="shared" si="1"/>
        <v>-0.14822954822954823</v>
      </c>
      <c r="G12" s="43">
        <f>B12*SUMPRODUCT((Assumptions!$C$28:$N$28&lt;=$C$4)*Assumptions!$C$30:$N$30)</f>
        <v>33215</v>
      </c>
      <c r="H12" s="43">
        <f>SUMPRODUCT((Actuals!$B$4:$M$4&lt;=$C$4)*Actuals!$B9:$M9)</f>
        <v>37032</v>
      </c>
      <c r="I12" s="21">
        <f t="shared" si="2"/>
        <v>-3817</v>
      </c>
      <c r="J12" s="22">
        <f t="shared" si="3"/>
        <v>-0.11491795875357519</v>
      </c>
      <c r="K12" s="22">
        <f t="shared" si="4"/>
        <v>0.8138901098901099</v>
      </c>
      <c r="L12" s="21">
        <f t="shared" si="5"/>
        <v>49317</v>
      </c>
      <c r="M12" s="21">
        <f t="shared" si="6"/>
        <v>-3817</v>
      </c>
      <c r="N12" s="15" t="str">
        <f>IF(AND(J12&lt;-Assumptions!$C$7,ABS(I12)&gt;=Assumptions!$C$8),"OVER BUDGET",IF(I12&lt;0,"WATCH","ON TRACK"))</f>
        <v>OVER BUDGET</v>
      </c>
      <c r="O12" s="35" t="s">
        <v>226</v>
      </c>
    </row>
    <row r="13" spans="1:15" x14ac:dyDescent="0.25">
      <c r="A13" s="44" t="str">
        <f>Assumptions!B18</f>
        <v>Technology</v>
      </c>
      <c r="B13" s="43">
        <f>Consolidation!C10</f>
        <v>76100</v>
      </c>
      <c r="C13" s="43">
        <f>B13*INDEX(Assumptions!$C$30:$N$30,$C$4)</f>
        <v>6849</v>
      </c>
      <c r="D13" s="43">
        <f>INDEX(Actuals!$B10:$M10,$C$4)</f>
        <v>7286</v>
      </c>
      <c r="E13" s="21">
        <f t="shared" si="0"/>
        <v>-437</v>
      </c>
      <c r="F13" s="22">
        <f t="shared" si="1"/>
        <v>-6.3804935027011248E-2</v>
      </c>
      <c r="G13" s="43">
        <f>B13*SUMPRODUCT((Assumptions!$C$28:$N$28&lt;=$C$4)*Assumptions!$C$30:$N$30)</f>
        <v>55553</v>
      </c>
      <c r="H13" s="43">
        <f>SUMPRODUCT((Actuals!$B$4:$M$4&lt;=$C$4)*Actuals!$B10:$M10)</f>
        <v>59808</v>
      </c>
      <c r="I13" s="21">
        <f t="shared" si="2"/>
        <v>-4255</v>
      </c>
      <c r="J13" s="22">
        <f t="shared" si="3"/>
        <v>-7.6593523302071892E-2</v>
      </c>
      <c r="K13" s="22">
        <f t="shared" si="4"/>
        <v>0.78591327201051253</v>
      </c>
      <c r="L13" s="21">
        <f t="shared" si="5"/>
        <v>80355</v>
      </c>
      <c r="M13" s="21">
        <f t="shared" si="6"/>
        <v>-4255</v>
      </c>
      <c r="N13" s="15" t="str">
        <f>IF(AND(J13&lt;-Assumptions!$C$7,ABS(I13)&gt;=Assumptions!$C$8),"OVER BUDGET",IF(I13&lt;0,"WATCH","ON TRACK"))</f>
        <v>OVER BUDGET</v>
      </c>
      <c r="O13" s="35" t="s">
        <v>227</v>
      </c>
    </row>
    <row r="14" spans="1:15" x14ac:dyDescent="0.25">
      <c r="A14" s="44" t="str">
        <f>Assumptions!B19</f>
        <v>HR &amp; GA</v>
      </c>
      <c r="B14" s="43">
        <f>Consolidation!C11</f>
        <v>100280</v>
      </c>
      <c r="C14" s="43">
        <f>B14*INDEX(Assumptions!$C$30:$N$30,$C$4)</f>
        <v>9025.1999999999989</v>
      </c>
      <c r="D14" s="43">
        <f>INDEX(Actuals!$B11:$M11,$C$4)</f>
        <v>8951</v>
      </c>
      <c r="E14" s="21">
        <f t="shared" si="0"/>
        <v>74.199999999998909</v>
      </c>
      <c r="F14" s="22">
        <f t="shared" si="1"/>
        <v>8.2214244559676141E-3</v>
      </c>
      <c r="G14" s="43">
        <f>B14*SUMPRODUCT((Assumptions!$C$28:$N$28&lt;=$C$4)*Assumptions!$C$30:$N$30)</f>
        <v>73204.399999999994</v>
      </c>
      <c r="H14" s="43">
        <f>SUMPRODUCT((Actuals!$B$4:$M$4&lt;=$C$4)*Actuals!$B11:$M11)</f>
        <v>70431</v>
      </c>
      <c r="I14" s="21">
        <f t="shared" si="2"/>
        <v>2773.3999999999942</v>
      </c>
      <c r="J14" s="22">
        <f t="shared" si="3"/>
        <v>3.7885700859511103E-2</v>
      </c>
      <c r="K14" s="22">
        <f t="shared" si="4"/>
        <v>0.70234343837255686</v>
      </c>
      <c r="L14" s="21">
        <f t="shared" si="5"/>
        <v>97506.6</v>
      </c>
      <c r="M14" s="21">
        <f t="shared" si="6"/>
        <v>2773.3999999999942</v>
      </c>
      <c r="N14" s="15" t="str">
        <f>IF(AND(J14&lt;-Assumptions!$C$7,ABS(I14)&gt;=Assumptions!$C$8),"OVER BUDGET",IF(I14&lt;0,"WATCH","ON TRACK"))</f>
        <v>ON TRACK</v>
      </c>
      <c r="O14" s="35"/>
    </row>
    <row r="15" spans="1:15" x14ac:dyDescent="0.25">
      <c r="A15" s="44" t="str">
        <f>Assumptions!B20</f>
        <v>Finance</v>
      </c>
      <c r="B15" s="43">
        <f>Consolidation!C12</f>
        <v>10500</v>
      </c>
      <c r="C15" s="43">
        <f>B15*INDEX(Assumptions!$C$30:$N$30,$C$4)</f>
        <v>945</v>
      </c>
      <c r="D15" s="43">
        <f>INDEX(Actuals!$B12:$M12,$C$4)</f>
        <v>883</v>
      </c>
      <c r="E15" s="21">
        <f t="shared" si="0"/>
        <v>62</v>
      </c>
      <c r="F15" s="22">
        <f t="shared" si="1"/>
        <v>6.5608465608465602E-2</v>
      </c>
      <c r="G15" s="43">
        <f>B15*SUMPRODUCT((Assumptions!$C$28:$N$28&lt;=$C$4)*Assumptions!$C$30:$N$30)</f>
        <v>7665</v>
      </c>
      <c r="H15" s="43">
        <f>SUMPRODUCT((Actuals!$B$4:$M$4&lt;=$C$4)*Actuals!$B12:$M12)</f>
        <v>7453</v>
      </c>
      <c r="I15" s="21">
        <f t="shared" si="2"/>
        <v>212</v>
      </c>
      <c r="J15" s="22">
        <f t="shared" si="3"/>
        <v>2.7658186562296152E-2</v>
      </c>
      <c r="K15" s="22">
        <f t="shared" si="4"/>
        <v>0.70980952380952378</v>
      </c>
      <c r="L15" s="21">
        <f t="shared" si="5"/>
        <v>10288</v>
      </c>
      <c r="M15" s="21">
        <f t="shared" si="6"/>
        <v>212</v>
      </c>
      <c r="N15" s="15" t="str">
        <f>IF(AND(J15&lt;-Assumptions!$C$7,ABS(I15)&gt;=Assumptions!$C$8),"OVER BUDGET",IF(I15&lt;0,"WATCH","ON TRACK"))</f>
        <v>ON TRACK</v>
      </c>
      <c r="O15" s="35"/>
    </row>
    <row r="16" spans="1:15" x14ac:dyDescent="0.25">
      <c r="A16" s="44" t="str">
        <f>Assumptions!B21</f>
        <v>Legal &amp; Corsec</v>
      </c>
      <c r="B16" s="43">
        <f>Consolidation!C13</f>
        <v>10100</v>
      </c>
      <c r="C16" s="43">
        <f>B16*INDEX(Assumptions!$C$30:$N$30,$C$4)</f>
        <v>909</v>
      </c>
      <c r="D16" s="43">
        <f>INDEX(Actuals!$B13:$M13,$C$4)</f>
        <v>901</v>
      </c>
      <c r="E16" s="21">
        <f t="shared" si="0"/>
        <v>8</v>
      </c>
      <c r="F16" s="22">
        <f t="shared" si="1"/>
        <v>8.8008800880088004E-3</v>
      </c>
      <c r="G16" s="43">
        <f>B16*SUMPRODUCT((Assumptions!$C$28:$N$28&lt;=$C$4)*Assumptions!$C$30:$N$30)</f>
        <v>7373</v>
      </c>
      <c r="H16" s="43">
        <f>SUMPRODUCT((Actuals!$B$4:$M$4&lt;=$C$4)*Actuals!$B13:$M13)</f>
        <v>7153</v>
      </c>
      <c r="I16" s="21">
        <f t="shared" si="2"/>
        <v>220</v>
      </c>
      <c r="J16" s="22">
        <f t="shared" si="3"/>
        <v>2.9838600298386003E-2</v>
      </c>
      <c r="K16" s="22">
        <f t="shared" si="4"/>
        <v>0.70821782178217818</v>
      </c>
      <c r="L16" s="21">
        <f t="shared" si="5"/>
        <v>9880</v>
      </c>
      <c r="M16" s="21">
        <f t="shared" si="6"/>
        <v>220</v>
      </c>
      <c r="N16" s="15" t="str">
        <f>IF(AND(J16&lt;-Assumptions!$C$7,ABS(I16)&gt;=Assumptions!$C$8),"OVER BUDGET",IF(I16&lt;0,"WATCH","ON TRACK"))</f>
        <v>ON TRACK</v>
      </c>
      <c r="O16" s="35"/>
    </row>
    <row r="17" spans="1:15" x14ac:dyDescent="0.25">
      <c r="A17" s="13" t="s">
        <v>209</v>
      </c>
      <c r="B17" s="23">
        <f>SUM(B9:B16)</f>
        <v>639420</v>
      </c>
      <c r="C17" s="23">
        <f>SUM(C9:C16)</f>
        <v>57547.799999999996</v>
      </c>
      <c r="D17" s="23">
        <f>SUM(D9:D16)</f>
        <v>58443</v>
      </c>
      <c r="E17" s="23">
        <f>SUM(E9:E16)</f>
        <v>-895.20000000000255</v>
      </c>
      <c r="F17" s="24">
        <f t="shared" si="1"/>
        <v>-1.5555764077862275E-2</v>
      </c>
      <c r="G17" s="23">
        <f>SUM(G9:G16)</f>
        <v>466776.6</v>
      </c>
      <c r="H17" s="23">
        <f>SUM(H9:H16)</f>
        <v>472675</v>
      </c>
      <c r="I17" s="23">
        <f>SUM(I9:I16)</f>
        <v>-5898.4000000000233</v>
      </c>
      <c r="J17" s="24">
        <f t="shared" si="3"/>
        <v>-1.263645178442969E-2</v>
      </c>
      <c r="K17" s="24">
        <f t="shared" si="4"/>
        <v>0.7392246098026336</v>
      </c>
      <c r="L17" s="23">
        <f>SUM(L9:L16)</f>
        <v>645318.40000000002</v>
      </c>
      <c r="M17" s="23">
        <f>SUM(M9:M16)</f>
        <v>-5898.4000000000524</v>
      </c>
      <c r="N17" s="25" t="str">
        <f>IF(AND(J17&lt;-Assumptions!$C$7,ABS(I17)&gt;=Assumptions!$C$8),"OVER BUDGET",IF(I17&lt;0,"WATCH","ON TRACK"))</f>
        <v>WATCH</v>
      </c>
      <c r="O17" s="26"/>
    </row>
    <row r="19" spans="1:15" x14ac:dyDescent="0.25">
      <c r="A19" s="6" t="s">
        <v>228</v>
      </c>
    </row>
    <row r="20" spans="1:15" ht="39.950000000000003" customHeight="1" x14ac:dyDescent="0.25">
      <c r="A20" s="19" t="s">
        <v>229</v>
      </c>
      <c r="B20" s="19" t="s">
        <v>216</v>
      </c>
      <c r="C20" s="19" t="s">
        <v>217</v>
      </c>
      <c r="D20" s="19" t="s">
        <v>218</v>
      </c>
      <c r="E20" s="19" t="s">
        <v>219</v>
      </c>
      <c r="F20" s="19" t="s">
        <v>13</v>
      </c>
      <c r="G20" s="19" t="s">
        <v>10</v>
      </c>
      <c r="H20" s="19" t="s">
        <v>11</v>
      </c>
      <c r="I20" s="19" t="s">
        <v>12</v>
      </c>
      <c r="J20" s="19" t="s">
        <v>220</v>
      </c>
      <c r="K20" s="19" t="s">
        <v>221</v>
      </c>
      <c r="L20" s="19" t="s">
        <v>222</v>
      </c>
      <c r="M20" s="19" t="s">
        <v>223</v>
      </c>
      <c r="N20" s="19" t="s">
        <v>14</v>
      </c>
      <c r="O20" s="34"/>
    </row>
    <row r="21" spans="1:15" x14ac:dyDescent="0.25">
      <c r="A21" s="48" t="s">
        <v>230</v>
      </c>
      <c r="B21" s="43">
        <f>Assumptions!$C$9</f>
        <v>800000</v>
      </c>
      <c r="C21" s="43">
        <f>B21*INDEX(Assumptions!$C$31:$N$31,$C$4)</f>
        <v>72000</v>
      </c>
      <c r="D21" s="43">
        <f>INDEX(Actuals!$B$16:$M$16,$C$4)</f>
        <v>71411</v>
      </c>
      <c r="E21" s="21">
        <f>D21-C21</f>
        <v>-589</v>
      </c>
      <c r="F21" s="22">
        <f>IFERROR(E21/ABS(C21),0)</f>
        <v>-8.1805555555555555E-3</v>
      </c>
      <c r="G21" s="43">
        <f>B21*SUMPRODUCT((Assumptions!$C$28:$N$28&lt;=$C$4)*Assumptions!$C$31:$N$31)</f>
        <v>576000</v>
      </c>
      <c r="H21" s="43">
        <f>SUMPRODUCT((Actuals!$B$4:$M$4&lt;=$C$4)*Actuals!$B$16:$M$16)</f>
        <v>567207</v>
      </c>
      <c r="I21" s="21">
        <f>H21-G21</f>
        <v>-8793</v>
      </c>
      <c r="J21" s="22">
        <f>IFERROR(I21/ABS(G21),0)</f>
        <v>-1.5265625E-2</v>
      </c>
      <c r="K21" s="22">
        <f>IFERROR(H21/B21,0)</f>
        <v>0.70900874999999997</v>
      </c>
      <c r="L21" s="21">
        <f>H21+(B21-G21)</f>
        <v>791207</v>
      </c>
      <c r="M21" s="21">
        <f>L21-B21</f>
        <v>-8793</v>
      </c>
      <c r="N21" s="15" t="str">
        <f>IF(AND(J21&lt;-Assumptions!$C$7,ABS(I21)&gt;=Assumptions!$C$8),"BELOW TARGET",IF(I21&lt;0,"WATCH","ON TRACK"))</f>
        <v>WATCH</v>
      </c>
    </row>
    <row r="22" spans="1:15" x14ac:dyDescent="0.25">
      <c r="A22" s="48" t="s">
        <v>231</v>
      </c>
      <c r="B22" s="21">
        <f>B17</f>
        <v>639420</v>
      </c>
      <c r="C22" s="21">
        <f>C17</f>
        <v>57547.799999999996</v>
      </c>
      <c r="D22" s="21">
        <f>D17</f>
        <v>58443</v>
      </c>
      <c r="E22" s="21">
        <f>C22-D22</f>
        <v>-895.20000000000437</v>
      </c>
      <c r="F22" s="22">
        <f>IFERROR(E22/ABS(C22),0)</f>
        <v>-1.5555764077862307E-2</v>
      </c>
      <c r="G22" s="21">
        <f>G17</f>
        <v>466776.6</v>
      </c>
      <c r="H22" s="21">
        <f>H17</f>
        <v>472675</v>
      </c>
      <c r="I22" s="21">
        <f>G22-H22</f>
        <v>-5898.4000000000233</v>
      </c>
      <c r="J22" s="22">
        <f>IFERROR(I22/ABS(G22),0)</f>
        <v>-1.263645178442969E-2</v>
      </c>
      <c r="K22" s="22">
        <f>IFERROR(H22/B22,0)</f>
        <v>0.7392246098026336</v>
      </c>
      <c r="L22" s="21">
        <f>L17</f>
        <v>645318.40000000002</v>
      </c>
      <c r="M22" s="21">
        <f>B22-L22</f>
        <v>-5898.4000000000233</v>
      </c>
      <c r="N22" s="15" t="str">
        <f>N17</f>
        <v>WATCH</v>
      </c>
    </row>
    <row r="23" spans="1:15" x14ac:dyDescent="0.25">
      <c r="A23" s="13" t="s">
        <v>232</v>
      </c>
      <c r="B23" s="23">
        <f>B21-B22</f>
        <v>160580</v>
      </c>
      <c r="C23" s="23">
        <f>C21-C22</f>
        <v>14452.200000000004</v>
      </c>
      <c r="D23" s="23">
        <f>D21-D22</f>
        <v>12968</v>
      </c>
      <c r="E23" s="23">
        <f>D23-C23</f>
        <v>-1484.2000000000044</v>
      </c>
      <c r="F23" s="24">
        <f>IFERROR(E23/ABS(C23),0)</f>
        <v>-0.10269716721329651</v>
      </c>
      <c r="G23" s="23">
        <f>G21-G22</f>
        <v>109223.40000000002</v>
      </c>
      <c r="H23" s="23">
        <f>H21-H22</f>
        <v>94532</v>
      </c>
      <c r="I23" s="23">
        <f>H23-G23</f>
        <v>-14691.400000000023</v>
      </c>
      <c r="J23" s="24">
        <f>IFERROR(I23/ABS(G23),0)</f>
        <v>-0.13450780693514411</v>
      </c>
      <c r="K23" s="24">
        <f>IFERROR(H23/B23,0)</f>
        <v>0.58869099514260803</v>
      </c>
      <c r="L23" s="23">
        <f>L21-L22</f>
        <v>145888.59999999998</v>
      </c>
      <c r="M23" s="23">
        <f>L23-B23</f>
        <v>-14691.400000000023</v>
      </c>
      <c r="N23" s="25" t="str">
        <f>IF(AND(J23&lt;-Assumptions!$C$7,ABS(I23)&gt;=Assumptions!$C$8),"BELOW TARGET",IF(I23&lt;0,"WATCH","ON TRACK"))</f>
        <v>BELOW TARGET</v>
      </c>
    </row>
    <row r="24" spans="1:15" x14ac:dyDescent="0.25">
      <c r="A24" s="48" t="s">
        <v>233</v>
      </c>
      <c r="B24" s="22">
        <f>IFERROR(B23/B21,0)</f>
        <v>0.20072499999999999</v>
      </c>
      <c r="C24" s="22">
        <f>IFERROR(C23/C21,0)</f>
        <v>0.20072500000000007</v>
      </c>
      <c r="D24" s="22">
        <f>IFERROR(D23/D21,0)</f>
        <v>0.18159667278150424</v>
      </c>
      <c r="E24" s="20"/>
      <c r="F24" s="20"/>
      <c r="G24" s="22">
        <f>IFERROR(G23/G21,0)</f>
        <v>0.18962395833333337</v>
      </c>
      <c r="H24" s="22">
        <f>IFERROR(H23/H21,0)</f>
        <v>0.16666225910470076</v>
      </c>
      <c r="I24" s="20"/>
      <c r="J24" s="20"/>
      <c r="K24" s="20"/>
      <c r="L24" s="22">
        <f>IFERROR(L23/L21,0)</f>
        <v>0.18438739798813708</v>
      </c>
      <c r="M24" s="20"/>
      <c r="N24" s="20"/>
    </row>
    <row r="26" spans="1:15" x14ac:dyDescent="0.25">
      <c r="A26" s="6" t="s">
        <v>234</v>
      </c>
    </row>
    <row r="27" spans="1:15" x14ac:dyDescent="0.25">
      <c r="A27" s="74" t="s">
        <v>235</v>
      </c>
      <c r="B27" s="70"/>
      <c r="C27" s="75" t="str">
        <f>INDEX($A$9:$A$16,MATCH(MIN($I$9:$I$16),$I$9:$I$16,0))&amp;" (IDR "&amp;FIXED(MIN($I$9:$I$16),0)&amp;"m)"</f>
        <v>Technology (IDR -4.255m)</v>
      </c>
      <c r="D27" s="69"/>
      <c r="E27" s="69"/>
      <c r="F27" s="70"/>
    </row>
    <row r="28" spans="1:15" x14ac:dyDescent="0.25">
      <c r="A28" s="74" t="s">
        <v>236</v>
      </c>
      <c r="B28" s="70"/>
      <c r="C28" s="75" t="str">
        <f>INDEX($A$9:$A$16,MATCH(MAX($I$9:$I$16),$I$9:$I$16,0))&amp;" (IDR +"&amp;FIXED(MAX($I$9:$I$16),0)&amp;"m)"</f>
        <v>HR &amp; GA (IDR +2.773m)</v>
      </c>
      <c r="D28" s="69"/>
      <c r="E28" s="69"/>
      <c r="F28" s="70"/>
    </row>
    <row r="29" spans="1:15" x14ac:dyDescent="0.25">
      <c r="A29" s="74" t="s">
        <v>237</v>
      </c>
      <c r="B29" s="70"/>
      <c r="C29" s="75">
        <f>COUNTIF($N$9:$N$16,"OVER BUDGET")</f>
        <v>2</v>
      </c>
      <c r="D29" s="69"/>
      <c r="E29" s="69"/>
      <c r="F29" s="70"/>
    </row>
    <row r="30" spans="1:15" x14ac:dyDescent="0.25">
      <c r="A30" s="74" t="s">
        <v>238</v>
      </c>
      <c r="B30" s="70"/>
      <c r="C30" s="75" t="str">
        <f>"IDR "&amp;FIXED(L23,0)&amp;"m vs IDR "&amp;FIXED(B23,0)&amp;"m ("&amp;FIXED(M23,0)&amp;"m)"</f>
        <v>IDR 145.889m vs IDR 160.580m (-14.691m)</v>
      </c>
      <c r="D30" s="69"/>
      <c r="E30" s="69"/>
      <c r="F30" s="70"/>
    </row>
    <row r="33" spans="1:8" x14ac:dyDescent="0.25">
      <c r="A33" s="6" t="s">
        <v>239</v>
      </c>
    </row>
    <row r="34" spans="1:8" ht="32.1" customHeight="1" x14ac:dyDescent="0.25">
      <c r="A34" s="19" t="s">
        <v>240</v>
      </c>
      <c r="B34" s="19" t="s">
        <v>77</v>
      </c>
      <c r="C34" s="19" t="s">
        <v>241</v>
      </c>
      <c r="D34" s="19" t="s">
        <v>242</v>
      </c>
      <c r="E34" s="19" t="s">
        <v>243</v>
      </c>
      <c r="F34" s="19" t="s">
        <v>244</v>
      </c>
      <c r="G34" s="19" t="s">
        <v>245</v>
      </c>
      <c r="H34" s="19" t="s">
        <v>246</v>
      </c>
    </row>
    <row r="35" spans="1:8" x14ac:dyDescent="0.25">
      <c r="A35" s="49">
        <v>1</v>
      </c>
      <c r="B35" s="16" t="str">
        <f>INDEX(Assumptions!$C$29:$N$29,A35)</f>
        <v>Jan</v>
      </c>
      <c r="C35" s="43">
        <f>$B$17*INDEX(Assumptions!$C$30:$N$30,A35)</f>
        <v>44759.4</v>
      </c>
      <c r="D35" s="43">
        <f>INDEX(Actuals!$B$14:$M$14,A35)</f>
        <v>46145</v>
      </c>
      <c r="E35" s="43">
        <f>$B$21*INDEX(Assumptions!$C$31:$N$31,A35)</f>
        <v>56000.000000000007</v>
      </c>
      <c r="F35" s="43">
        <f>INDEX(Actuals!$B$16:$M$16,A35)</f>
        <v>57290</v>
      </c>
      <c r="G35" s="21">
        <f t="shared" ref="G35:G46" si="7">E35-C35</f>
        <v>11240.600000000006</v>
      </c>
      <c r="H35" s="21">
        <f t="shared" ref="H35:H46" si="8">F35-D35</f>
        <v>11145</v>
      </c>
    </row>
    <row r="36" spans="1:8" x14ac:dyDescent="0.25">
      <c r="A36" s="49">
        <v>2</v>
      </c>
      <c r="B36" s="16" t="str">
        <f>INDEX(Assumptions!$C$29:$N$29,A36)</f>
        <v>Feb</v>
      </c>
      <c r="C36" s="43">
        <f>$B$17*INDEX(Assumptions!$C$30:$N$30,A36)</f>
        <v>44759.4</v>
      </c>
      <c r="D36" s="43">
        <f>INDEX(Actuals!$B$14:$M$14,A36)</f>
        <v>44501</v>
      </c>
      <c r="E36" s="43">
        <f>$B$21*INDEX(Assumptions!$C$31:$N$31,A36)</f>
        <v>56000.000000000007</v>
      </c>
      <c r="F36" s="43">
        <f>INDEX(Actuals!$B$16:$M$16,A36)</f>
        <v>56327</v>
      </c>
      <c r="G36" s="21">
        <f t="shared" si="7"/>
        <v>11240.600000000006</v>
      </c>
      <c r="H36" s="21">
        <f t="shared" si="8"/>
        <v>11826</v>
      </c>
    </row>
    <row r="37" spans="1:8" x14ac:dyDescent="0.25">
      <c r="A37" s="49">
        <v>3</v>
      </c>
      <c r="B37" s="16" t="str">
        <f>INDEX(Assumptions!$C$29:$N$29,A37)</f>
        <v>Mar</v>
      </c>
      <c r="C37" s="43">
        <f>$B$17*INDEX(Assumptions!$C$30:$N$30,A37)</f>
        <v>51153.599999999999</v>
      </c>
      <c r="D37" s="43">
        <f>INDEX(Actuals!$B$14:$M$14,A37)</f>
        <v>51325</v>
      </c>
      <c r="E37" s="43">
        <f>$B$21*INDEX(Assumptions!$C$31:$N$31,A37)</f>
        <v>64000</v>
      </c>
      <c r="F37" s="43">
        <f>INDEX(Actuals!$B$16:$M$16,A37)</f>
        <v>62580</v>
      </c>
      <c r="G37" s="21">
        <f t="shared" si="7"/>
        <v>12846.400000000001</v>
      </c>
      <c r="H37" s="21">
        <f t="shared" si="8"/>
        <v>11255</v>
      </c>
    </row>
    <row r="38" spans="1:8" x14ac:dyDescent="0.25">
      <c r="A38" s="49">
        <v>4</v>
      </c>
      <c r="B38" s="16" t="str">
        <f>INDEX(Assumptions!$C$29:$N$29,A38)</f>
        <v>Apr</v>
      </c>
      <c r="C38" s="43">
        <f>$B$17*INDEX(Assumptions!$C$30:$N$30,A38)</f>
        <v>51153.599999999999</v>
      </c>
      <c r="D38" s="43">
        <f>INDEX(Actuals!$B$14:$M$14,A38)</f>
        <v>51965</v>
      </c>
      <c r="E38" s="43">
        <f>$B$21*INDEX(Assumptions!$C$31:$N$31,A38)</f>
        <v>72000</v>
      </c>
      <c r="F38" s="43">
        <f>INDEX(Actuals!$B$16:$M$16,A38)</f>
        <v>71105</v>
      </c>
      <c r="G38" s="21">
        <f t="shared" si="7"/>
        <v>20846.400000000001</v>
      </c>
      <c r="H38" s="21">
        <f t="shared" si="8"/>
        <v>19140</v>
      </c>
    </row>
    <row r="39" spans="1:8" x14ac:dyDescent="0.25">
      <c r="A39" s="49">
        <v>5</v>
      </c>
      <c r="B39" s="16" t="str">
        <f>INDEX(Assumptions!$C$29:$N$29,A39)</f>
        <v>May</v>
      </c>
      <c r="C39" s="43">
        <f>$B$17*INDEX(Assumptions!$C$30:$N$30,A39)</f>
        <v>51153.599999999999</v>
      </c>
      <c r="D39" s="43">
        <f>INDEX(Actuals!$B$14:$M$14,A39)</f>
        <v>51362</v>
      </c>
      <c r="E39" s="43">
        <f>$B$21*INDEX(Assumptions!$C$31:$N$31,A39)</f>
        <v>64000</v>
      </c>
      <c r="F39" s="43">
        <f>INDEX(Actuals!$B$16:$M$16,A39)</f>
        <v>62797</v>
      </c>
      <c r="G39" s="21">
        <f t="shared" si="7"/>
        <v>12846.400000000001</v>
      </c>
      <c r="H39" s="21">
        <f t="shared" si="8"/>
        <v>11435</v>
      </c>
    </row>
    <row r="40" spans="1:8" x14ac:dyDescent="0.25">
      <c r="A40" s="49">
        <v>6</v>
      </c>
      <c r="B40" s="16" t="str">
        <f>INDEX(Assumptions!$C$29:$N$29,A40)</f>
        <v>Jun</v>
      </c>
      <c r="C40" s="43">
        <f>$B$17*INDEX(Assumptions!$C$30:$N$30,A40)</f>
        <v>51153.599999999999</v>
      </c>
      <c r="D40" s="43">
        <f>INDEX(Actuals!$B$14:$M$14,A40)</f>
        <v>52057</v>
      </c>
      <c r="E40" s="43">
        <f>$B$21*INDEX(Assumptions!$C$31:$N$31,A40)</f>
        <v>64000</v>
      </c>
      <c r="F40" s="43">
        <f>INDEX(Actuals!$B$16:$M$16,A40)</f>
        <v>60965</v>
      </c>
      <c r="G40" s="21">
        <f t="shared" si="7"/>
        <v>12846.400000000001</v>
      </c>
      <c r="H40" s="21">
        <f t="shared" si="8"/>
        <v>8908</v>
      </c>
    </row>
    <row r="41" spans="1:8" x14ac:dyDescent="0.25">
      <c r="A41" s="49">
        <v>7</v>
      </c>
      <c r="B41" s="16" t="str">
        <f>INDEX(Assumptions!$C$29:$N$29,A41)</f>
        <v>Jul</v>
      </c>
      <c r="C41" s="43">
        <f>$B$17*INDEX(Assumptions!$C$30:$N$30,A41)</f>
        <v>57547.799999999996</v>
      </c>
      <c r="D41" s="43">
        <f>INDEX(Actuals!$B$14:$M$14,A41)</f>
        <v>59177</v>
      </c>
      <c r="E41" s="43">
        <f>$B$21*INDEX(Assumptions!$C$31:$N$31,A41)</f>
        <v>64000</v>
      </c>
      <c r="F41" s="43">
        <f>INDEX(Actuals!$B$16:$M$16,A41)</f>
        <v>61026</v>
      </c>
      <c r="G41" s="21">
        <f t="shared" si="7"/>
        <v>6452.2000000000044</v>
      </c>
      <c r="H41" s="21">
        <f t="shared" si="8"/>
        <v>1849</v>
      </c>
    </row>
    <row r="42" spans="1:8" x14ac:dyDescent="0.25">
      <c r="A42" s="49">
        <v>8</v>
      </c>
      <c r="B42" s="16" t="str">
        <f>INDEX(Assumptions!$C$29:$N$29,A42)</f>
        <v>Aug</v>
      </c>
      <c r="C42" s="43">
        <f>$B$17*INDEX(Assumptions!$C$30:$N$30,A42)</f>
        <v>57547.799999999996</v>
      </c>
      <c r="D42" s="43">
        <f>INDEX(Actuals!$B$14:$M$14,A42)</f>
        <v>57700</v>
      </c>
      <c r="E42" s="43">
        <f>$B$21*INDEX(Assumptions!$C$31:$N$31,A42)</f>
        <v>64000</v>
      </c>
      <c r="F42" s="43">
        <f>INDEX(Actuals!$B$16:$M$16,A42)</f>
        <v>63706</v>
      </c>
      <c r="G42" s="21">
        <f t="shared" si="7"/>
        <v>6452.2000000000044</v>
      </c>
      <c r="H42" s="21">
        <f t="shared" si="8"/>
        <v>6006</v>
      </c>
    </row>
    <row r="43" spans="1:8" x14ac:dyDescent="0.25">
      <c r="A43" s="49">
        <v>9</v>
      </c>
      <c r="B43" s="16" t="str">
        <f>INDEX(Assumptions!$C$29:$N$29,A43)</f>
        <v>Sep</v>
      </c>
      <c r="C43" s="43">
        <f>$B$17*INDEX(Assumptions!$C$30:$N$30,A43)</f>
        <v>57547.799999999996</v>
      </c>
      <c r="D43" s="43">
        <f>INDEX(Actuals!$B$14:$M$14,A43)</f>
        <v>58443</v>
      </c>
      <c r="E43" s="43">
        <f>$B$21*INDEX(Assumptions!$C$31:$N$31,A43)</f>
        <v>72000</v>
      </c>
      <c r="F43" s="43">
        <f>INDEX(Actuals!$B$16:$M$16,A43)</f>
        <v>71411</v>
      </c>
      <c r="G43" s="21">
        <f t="shared" si="7"/>
        <v>14452.200000000004</v>
      </c>
      <c r="H43" s="21">
        <f t="shared" si="8"/>
        <v>12968</v>
      </c>
    </row>
    <row r="44" spans="1:8" x14ac:dyDescent="0.25">
      <c r="A44" s="49">
        <v>10</v>
      </c>
      <c r="B44" s="16" t="str">
        <f>INDEX(Assumptions!$C$29:$N$29,A44)</f>
        <v>Oct</v>
      </c>
      <c r="C44" s="43">
        <f>$B$17*INDEX(Assumptions!$C$30:$N$30,A44)</f>
        <v>57547.799999999996</v>
      </c>
      <c r="D44" s="43">
        <f>INDEX(Actuals!$B$14:$M$14,A44)</f>
        <v>0</v>
      </c>
      <c r="E44" s="43">
        <f>$B$21*INDEX(Assumptions!$C$31:$N$31,A44)</f>
        <v>72000</v>
      </c>
      <c r="F44" s="43">
        <f>INDEX(Actuals!$B$16:$M$16,A44)</f>
        <v>0</v>
      </c>
      <c r="G44" s="21">
        <f t="shared" si="7"/>
        <v>14452.200000000004</v>
      </c>
      <c r="H44" s="21">
        <f t="shared" si="8"/>
        <v>0</v>
      </c>
    </row>
    <row r="45" spans="1:8" x14ac:dyDescent="0.25">
      <c r="A45" s="49">
        <v>11</v>
      </c>
      <c r="B45" s="16" t="str">
        <f>INDEX(Assumptions!$C$29:$N$29,A45)</f>
        <v>Nov</v>
      </c>
      <c r="C45" s="43">
        <f>$B$17*INDEX(Assumptions!$C$30:$N$30,A45)</f>
        <v>57547.799999999996</v>
      </c>
      <c r="D45" s="43">
        <f>INDEX(Actuals!$B$14:$M$14,A45)</f>
        <v>0</v>
      </c>
      <c r="E45" s="43">
        <f>$B$21*INDEX(Assumptions!$C$31:$N$31,A45)</f>
        <v>72000</v>
      </c>
      <c r="F45" s="43">
        <f>INDEX(Actuals!$B$16:$M$16,A45)</f>
        <v>0</v>
      </c>
      <c r="G45" s="21">
        <f t="shared" si="7"/>
        <v>14452.200000000004</v>
      </c>
      <c r="H45" s="21">
        <f t="shared" si="8"/>
        <v>0</v>
      </c>
    </row>
    <row r="46" spans="1:8" x14ac:dyDescent="0.25">
      <c r="A46" s="49">
        <v>12</v>
      </c>
      <c r="B46" s="16" t="str">
        <f>INDEX(Assumptions!$C$29:$N$29,A46)</f>
        <v>Dec</v>
      </c>
      <c r="C46" s="43">
        <f>$B$17*INDEX(Assumptions!$C$30:$N$30,A46)</f>
        <v>57547.799999999996</v>
      </c>
      <c r="D46" s="43">
        <f>INDEX(Actuals!$B$14:$M$14,A46)</f>
        <v>0</v>
      </c>
      <c r="E46" s="43">
        <f>$B$21*INDEX(Assumptions!$C$31:$N$31,A46)</f>
        <v>80000</v>
      </c>
      <c r="F46" s="43">
        <f>INDEX(Actuals!$B$16:$M$16,A46)</f>
        <v>0</v>
      </c>
      <c r="G46" s="21">
        <f t="shared" si="7"/>
        <v>22452.200000000004</v>
      </c>
      <c r="H46" s="21">
        <f t="shared" si="8"/>
        <v>0</v>
      </c>
    </row>
    <row r="47" spans="1:8" x14ac:dyDescent="0.25">
      <c r="A47" s="13" t="s">
        <v>247</v>
      </c>
      <c r="B47" s="26"/>
      <c r="C47" s="23">
        <f t="shared" ref="C47:H47" si="9">SUM(C35:C46)</f>
        <v>639420.00000000012</v>
      </c>
      <c r="D47" s="23">
        <f t="shared" si="9"/>
        <v>472675</v>
      </c>
      <c r="E47" s="23">
        <f t="shared" si="9"/>
        <v>800000</v>
      </c>
      <c r="F47" s="23">
        <f t="shared" si="9"/>
        <v>567207</v>
      </c>
      <c r="G47" s="23">
        <f t="shared" si="9"/>
        <v>160580.00000000009</v>
      </c>
      <c r="H47" s="23">
        <f t="shared" si="9"/>
        <v>94532</v>
      </c>
    </row>
  </sheetData>
  <mergeCells count="8">
    <mergeCell ref="C27:F27"/>
    <mergeCell ref="A27:B27"/>
    <mergeCell ref="C28:F28"/>
    <mergeCell ref="A30:B30"/>
    <mergeCell ref="A29:B29"/>
    <mergeCell ref="A28:B28"/>
    <mergeCell ref="C29:F29"/>
    <mergeCell ref="C30:F30"/>
  </mergeCells>
  <conditionalFormatting sqref="N9:N17">
    <cfRule type="expression" dxfId="8" priority="1">
      <formula>OR(ISNUMBER(SEARCH("OVER",N9)),ISNUMBER(SEARCH("BELOW",N9)),ISNUMBER(SEARCH("DECLINED",N9)),ISNUMBER(SEARCH("FAIL",N9)),ISNUMBER(SEARCH("REVIEW FAILED",N9)))</formula>
    </cfRule>
    <cfRule type="expression" dxfId="7" priority="2">
      <formula>OR(ISNUMBER(SEARCH("WATCH",N9)),ISNUMBER(SEARCH("REVIEW",N9)))</formula>
    </cfRule>
    <cfRule type="expression" dxfId="6" priority="3">
      <formula>OR(ISNUMBER(SEARCH("ON TRACK",N9)),ISNUMBER(SEARCH("OK",N9)),ISNUMBER(SEARCH("PASS",N9)))</formula>
    </cfRule>
  </conditionalFormatting>
  <conditionalFormatting sqref="N21:N23">
    <cfRule type="expression" dxfId="5" priority="4">
      <formula>OR(ISNUMBER(SEARCH("OVER",N21)),ISNUMBER(SEARCH("BELOW",N21)),ISNUMBER(SEARCH("DECLINED",N21)),ISNUMBER(SEARCH("FAIL",N21)),ISNUMBER(SEARCH("REVIEW FAILED",N21)))</formula>
    </cfRule>
    <cfRule type="expression" dxfId="4" priority="5">
      <formula>OR(ISNUMBER(SEARCH("WATCH",N21)),ISNUMBER(SEARCH("REVIEW",N21)))</formula>
    </cfRule>
    <cfRule type="expression" dxfId="3" priority="6">
      <formula>OR(ISNUMBER(SEARCH("ON TRACK",N21)),ISNUMBER(SEARCH("OK",N21)),ISNUMBER(SEARCH("PASS",N21)))</formula>
    </cfRule>
  </conditionalFormatting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CA3AF"/>
    <pageSetUpPr fitToPage="1"/>
  </sheetPr>
  <dimension ref="A1:E15"/>
  <sheetViews>
    <sheetView showGridLines="0" workbookViewId="0"/>
  </sheetViews>
  <sheetFormatPr defaultRowHeight="15" x14ac:dyDescent="0.25"/>
  <cols>
    <col min="1" max="1" width="5" customWidth="1"/>
    <col min="2" max="2" width="58" customWidth="1"/>
    <col min="3" max="4" width="14" customWidth="1"/>
    <col min="5" max="5" width="26" customWidth="1"/>
  </cols>
  <sheetData>
    <row r="1" spans="1:5" ht="20.25" x14ac:dyDescent="0.3">
      <c r="A1" s="28" t="s">
        <v>248</v>
      </c>
    </row>
    <row r="2" spans="1:5" x14ac:dyDescent="0.25">
      <c r="A2" s="29" t="s">
        <v>249</v>
      </c>
    </row>
    <row r="4" spans="1:5" ht="21.95" customHeight="1" x14ac:dyDescent="0.25">
      <c r="A4" s="19" t="s">
        <v>240</v>
      </c>
      <c r="B4" s="19" t="s">
        <v>250</v>
      </c>
      <c r="C4" s="19" t="s">
        <v>251</v>
      </c>
      <c r="D4" s="19" t="s">
        <v>252</v>
      </c>
      <c r="E4" s="19" t="s">
        <v>253</v>
      </c>
    </row>
    <row r="5" spans="1:5" x14ac:dyDescent="0.25">
      <c r="A5" s="50">
        <v>1</v>
      </c>
      <c r="B5" s="20" t="s">
        <v>254</v>
      </c>
      <c r="C5" s="51">
        <f>Consolidation!N27-Consolidation!C14</f>
        <v>0</v>
      </c>
      <c r="D5" s="52">
        <v>0</v>
      </c>
      <c r="E5" s="15" t="str">
        <f>IF(ABS(C5-D5)&lt;0.5,"PASS","FAIL")</f>
        <v>PASS</v>
      </c>
    </row>
    <row r="6" spans="1:5" x14ac:dyDescent="0.25">
      <c r="A6" s="50">
        <v>2</v>
      </c>
      <c r="B6" s="20" t="s">
        <v>255</v>
      </c>
      <c r="C6" s="51">
        <f>Program_Budget!F12-SUMIFS(Submissions!$G$7:$G$80,Submissions!$B$7:$B$80,"Programming")</f>
        <v>0</v>
      </c>
      <c r="D6" s="52">
        <v>0</v>
      </c>
      <c r="E6" s="15" t="str">
        <f>IF(ABS(C6-D6)&lt;0.5,"PASS","FAIL")</f>
        <v>PASS</v>
      </c>
    </row>
    <row r="7" spans="1:5" x14ac:dyDescent="0.25">
      <c r="A7" s="50">
        <v>3</v>
      </c>
      <c r="B7" s="20" t="s">
        <v>256</v>
      </c>
      <c r="C7" s="51">
        <f>Assumptions!O30</f>
        <v>0.99999999999999989</v>
      </c>
      <c r="D7" s="52">
        <v>1</v>
      </c>
      <c r="E7" s="15" t="str">
        <f>IF(ABS(C7-D7)&lt;0.000001,"PASS","FAIL")</f>
        <v>PASS</v>
      </c>
    </row>
    <row r="8" spans="1:5" x14ac:dyDescent="0.25">
      <c r="A8" s="50">
        <v>4</v>
      </c>
      <c r="B8" s="20" t="s">
        <v>257</v>
      </c>
      <c r="C8" s="51">
        <f>Assumptions!O31</f>
        <v>0.99999999999999989</v>
      </c>
      <c r="D8" s="52">
        <v>1</v>
      </c>
      <c r="E8" s="15" t="str">
        <f>IF(ABS(C8-D8)&lt;0.000001,"PASS","FAIL")</f>
        <v>PASS</v>
      </c>
    </row>
    <row r="9" spans="1:5" x14ac:dyDescent="0.25">
      <c r="A9" s="50">
        <v>5</v>
      </c>
      <c r="B9" s="20" t="s">
        <v>258</v>
      </c>
      <c r="C9" s="51">
        <f>Mgmt_Report!H17-SUMPRODUCT((Actuals!B4:M4&lt;=Mgmt_Report!C4)*Actuals!B14:M14)</f>
        <v>0</v>
      </c>
      <c r="D9" s="52">
        <v>0</v>
      </c>
      <c r="E9" s="15" t="str">
        <f>IF(ABS(C9-D9)&lt;0.5,"PASS","FAIL")</f>
        <v>PASS</v>
      </c>
    </row>
    <row r="10" spans="1:5" x14ac:dyDescent="0.25">
      <c r="A10" s="50">
        <v>6</v>
      </c>
      <c r="B10" s="20" t="s">
        <v>259</v>
      </c>
      <c r="C10" s="51">
        <f>SUMPRODUCT((Submissions!$B$7:$B$80&lt;&gt;"")*(COUNTIF(Assumptions!$B$14:$B$21,Submissions!$B$7:$B$80)=0))</f>
        <v>0</v>
      </c>
      <c r="D10" s="52">
        <v>0</v>
      </c>
      <c r="E10" s="15" t="str">
        <f>IF(ABS(C10-D10)&lt;0.5,"PASS","FAIL")</f>
        <v>PASS</v>
      </c>
    </row>
    <row r="11" spans="1:5" x14ac:dyDescent="0.25">
      <c r="A11" s="50">
        <v>7</v>
      </c>
      <c r="B11" s="20" t="s">
        <v>260</v>
      </c>
      <c r="C11" s="51">
        <f>SUMPRODUCT(--(Submissions!$L$7:$L$80&gt;Submissions!$G$7:$G$80+0.0001))</f>
        <v>0</v>
      </c>
      <c r="D11" s="52">
        <v>0</v>
      </c>
      <c r="E11" s="15" t="str">
        <f>IF(ABS(C11-D11)&lt;0.5,"PASS","FAIL")</f>
        <v>PASS</v>
      </c>
    </row>
    <row r="12" spans="1:5" x14ac:dyDescent="0.25">
      <c r="A12" s="50">
        <v>8</v>
      </c>
      <c r="B12" s="20" t="s">
        <v>261</v>
      </c>
      <c r="C12" s="53">
        <f>Dashboard!C4</f>
        <v>9</v>
      </c>
      <c r="D12" s="53">
        <f>Assumptions!$C$10</f>
        <v>9</v>
      </c>
      <c r="E12" s="15" t="str">
        <f>IF(AND(C12&gt;=1,C12&lt;=D12),"PASS","FAIL")</f>
        <v>PASS</v>
      </c>
    </row>
    <row r="13" spans="1:5" x14ac:dyDescent="0.25">
      <c r="A13" s="50">
        <v>9</v>
      </c>
      <c r="B13" s="20" t="s">
        <v>262</v>
      </c>
      <c r="C13" s="51">
        <f>SUMPRODUCT((Actuals!B4:M4&lt;=Dashboard!C4)*(Actuals!B6:M13=""))</f>
        <v>0</v>
      </c>
      <c r="D13" s="52">
        <v>0</v>
      </c>
      <c r="E13" s="15" t="str">
        <f>IF(ABS(C13-D13)&lt;0.5,"PASS","FAIL")</f>
        <v>PASS</v>
      </c>
    </row>
    <row r="15" spans="1:5" x14ac:dyDescent="0.25">
      <c r="A15" s="26"/>
      <c r="B15" s="13" t="s">
        <v>263</v>
      </c>
      <c r="C15" s="26"/>
      <c r="D15" s="26"/>
      <c r="E15" s="25" t="str">
        <f>IF(COUNTIF(E5:E13,"FAIL")=0,"ALL CHECKS PASSED","REVIEW FAILED CHECKS")</f>
        <v>ALL CHECKS PASSED</v>
      </c>
    </row>
  </sheetData>
  <conditionalFormatting sqref="E5:E15">
    <cfRule type="expression" dxfId="2" priority="1">
      <formula>OR(ISNUMBER(SEARCH("OVER",E5)),ISNUMBER(SEARCH("BELOW",E5)),ISNUMBER(SEARCH("DECLINED",E5)),ISNUMBER(SEARCH("FAIL",E5)),ISNUMBER(SEARCH("REVIEW FAILED",E5)))</formula>
    </cfRule>
    <cfRule type="expression" dxfId="1" priority="2">
      <formula>OR(ISNUMBER(SEARCH("WATCH",E5)),ISNUMBER(SEARCH("REVIEW",E5)))</formula>
    </cfRule>
    <cfRule type="expression" dxfId="0" priority="3">
      <formula>OR(ISNUMBER(SEARCH("ON TRACK",E5)),ISNUMBER(SEARCH("OK",E5)),ISNUMBER(SEARCH("PASS",E5)))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Dashboard</vt:lpstr>
      <vt:lpstr>Assumptions</vt:lpstr>
      <vt:lpstr>Program_Budget</vt:lpstr>
      <vt:lpstr>Submissions</vt:lpstr>
      <vt:lpstr>Consolidation</vt:lpstr>
      <vt:lpstr>Actuals</vt:lpstr>
      <vt:lpstr>Mgmt_Report</vt:lpstr>
      <vt:lpstr>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Corporate Budget &amp; Management Report - Simulation</dc:title>
  <dc:creator>Lidya Aprillia</dc:creator>
  <cp:lastModifiedBy>rani susan</cp:lastModifiedBy>
  <dcterms:created xsi:type="dcterms:W3CDTF">2026-10-29T16:30:25Z</dcterms:created>
  <dcterms:modified xsi:type="dcterms:W3CDTF">2026-10-29T16:30:41Z</dcterms:modified>
</cp:coreProperties>
</file>